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dl-my.sharepoint.com/personal/tba_dadl_dk/Documents/Skrivebord/"/>
    </mc:Choice>
  </mc:AlternateContent>
  <xr:revisionPtr revIDLastSave="0" documentId="8_{7A05A0E3-B5AB-4450-B575-E53A77665C3A}" xr6:coauthVersionLast="47" xr6:coauthVersionMax="47" xr10:uidLastSave="{00000000-0000-0000-0000-000000000000}"/>
  <bookViews>
    <workbookView xWindow="-108" yWindow="-108" windowWidth="23256" windowHeight="13896" xr2:uid="{6D83F4F7-E645-4093-8519-FA25F4EF66A7}"/>
  </bookViews>
  <sheets>
    <sheet name="Ark1" sheetId="1" r:id="rId1"/>
    <sheet name="Ark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J9" i="1"/>
  <c r="J24" i="1"/>
  <c r="J23" i="1"/>
  <c r="E6" i="2"/>
  <c r="E5" i="2"/>
  <c r="E25" i="2"/>
  <c r="E14" i="2"/>
  <c r="J13" i="2"/>
  <c r="J14" i="2" s="1"/>
  <c r="J12" i="2"/>
  <c r="I14" i="2"/>
  <c r="I13" i="2"/>
  <c r="I12" i="2"/>
  <c r="G13" i="2"/>
  <c r="G14" i="2" s="1"/>
  <c r="G12" i="2"/>
  <c r="C55" i="2"/>
  <c r="C57" i="2"/>
  <c r="C59" i="2"/>
  <c r="C53" i="2"/>
  <c r="C46" i="2"/>
  <c r="C49" i="2" s="1"/>
  <c r="C43" i="2"/>
  <c r="E13" i="2" l="1"/>
  <c r="D25" i="2" a="1"/>
  <c r="D25" i="2" s="1"/>
  <c r="B2" i="1" l="1"/>
  <c r="J21" i="1" l="1"/>
  <c r="J22" i="1" s="1"/>
  <c r="E7" i="2"/>
  <c r="E4" i="2" l="1"/>
  <c r="E8" i="2" l="1"/>
  <c r="E9" i="2" s="1"/>
  <c r="E10" i="2" s="1"/>
  <c r="E11" i="2" s="1"/>
  <c r="E12" i="2" s="1"/>
  <c r="E15" i="2" s="1"/>
  <c r="E16" i="2" s="1"/>
  <c r="E17" i="2" s="1"/>
  <c r="E18" i="2" s="1"/>
  <c r="E19" i="2" s="1"/>
  <c r="E20" i="2" s="1"/>
  <c r="E21" i="2" s="1"/>
  <c r="E22" i="2" s="1"/>
  <c r="E23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<sst xmlns="http://schemas.openxmlformats.org/spreadsheetml/2006/main" count="51" uniqueCount="41">
  <si>
    <t>Bruttoløn inkl. egetbidrag (skrives i ansættelseskontrakten)</t>
  </si>
  <si>
    <t>Medarbejders eget pensionsbidrag (5,83 %)</t>
  </si>
  <si>
    <t>Arbejdsgivers pensionsbidrag (11,66 %)</t>
  </si>
  <si>
    <t>Nettoløn uden pension</t>
  </si>
  <si>
    <t>Samlet lønudgift (bruttoløn inkl. arbejdsgivers pensionsbidrag)</t>
  </si>
  <si>
    <t>Aktuelle reguleringsprocent</t>
  </si>
  <si>
    <t>Reguleringsprocent</t>
  </si>
  <si>
    <t>Nyt tillæg</t>
  </si>
  <si>
    <t>Indsæt seneste reguleringsprocent</t>
  </si>
  <si>
    <t>Akkummuleret</t>
  </si>
  <si>
    <t>Løntillæg - ikke pensionsgivende</t>
  </si>
  <si>
    <t>Løntillæg - pensionsgivende</t>
  </si>
  <si>
    <t>Indtast nuværende løntillæg</t>
  </si>
  <si>
    <t>Ny nettoløn uden pension</t>
  </si>
  <si>
    <t>Ny medarbejders eget pensionsbidrag (5,83 %)</t>
  </si>
  <si>
    <t>Ny arbejdsgivers pensionsbidrag (11,66 %)</t>
  </si>
  <si>
    <t>Indtast nuværende bruttoløntillæg inkl. egetbidrag</t>
  </si>
  <si>
    <t>Nyt samlet løntillæg (bruttoløntillæg inkl. arbejdsgivers pensionsbidrag)</t>
  </si>
  <si>
    <t>Indtast ugentligt timeantal*</t>
  </si>
  <si>
    <t xml:space="preserve">*Hvis den ansatte ikke arbejder et helt antal timer om ugen, skal antallet af minutter divideres i 60.                                                                                                                                                                   </t>
  </si>
  <si>
    <r>
      <rPr>
        <u/>
        <sz val="10"/>
        <color theme="1"/>
        <rFont val="Calibri"/>
        <family val="2"/>
        <scheme val="minor"/>
      </rPr>
      <t>Eksempel:</t>
    </r>
    <r>
      <rPr>
        <sz val="10"/>
        <color theme="1"/>
        <rFont val="Calibri"/>
        <family val="2"/>
        <scheme val="minor"/>
      </rPr>
      <t xml:space="preserve"> En ansat læge arbejder 21 timer og 45 minutter pr. uge: 45/60=0,75. Altså skal der indtastes 21,75.</t>
    </r>
  </si>
  <si>
    <t>Almen lægehjælp</t>
  </si>
  <si>
    <t xml:space="preserve">Regulering af honorarer pr. </t>
  </si>
  <si>
    <t>1. april 2026</t>
  </si>
  <si>
    <t>½ år tidligere</t>
  </si>
  <si>
    <t>Reguleringsprocent for ansatte i regioner</t>
  </si>
  <si>
    <t>Stigning i procent det sidste halve år</t>
  </si>
  <si>
    <t>%</t>
  </si>
  <si>
    <t>Nettoprisindekset</t>
  </si>
  <si>
    <t>Stigning det sidste halve år</t>
  </si>
  <si>
    <t>Omkostningsandel:</t>
  </si>
  <si>
    <t>25 % af den procentvise stigning i nettoprisindeks for det sidste ½ år</t>
  </si>
  <si>
    <t>Nettoandel</t>
  </si>
  <si>
    <t>75% af den procentvise stigning i 
den særlige</t>
  </si>
  <si>
    <t>reguleringsprocent for regioner for det sidste ½ år</t>
  </si>
  <si>
    <t>Omkostningsandel + nettoandel</t>
  </si>
  <si>
    <t>Reguleringsprocenten pr.</t>
  </si>
  <si>
    <t>Midlertidig kompensation for manglende honorering</t>
  </si>
  <si>
    <t>Stigning i honorarer i det sidste ½ år</t>
  </si>
  <si>
    <t>faktisk</t>
  </si>
  <si>
    <t>Løn for ansatte læger - gældende pr. 1.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</si>
</sst>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%"/>
    <numFmt numFmtId="166" formatCode="_-* #,##0.00\ _k_r_._-;\-* #,##0.00\ _k_r_._-;_-* &quot;-&quot;??\ _k_r_._-;_-@_-"/>
    <numFmt numFmtId="167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43" fontId="0" fillId="0" borderId="0" xfId="1" applyFont="1"/>
    <xf numFmtId="43" fontId="2" fillId="0" borderId="0" xfId="1" applyFont="1" applyFill="1"/>
    <xf numFmtId="43" fontId="1" fillId="0" borderId="0" xfId="1" applyFont="1" applyBorder="1"/>
    <xf numFmtId="0" fontId="3" fillId="0" borderId="0" xfId="0" applyFont="1"/>
    <xf numFmtId="0" fontId="0" fillId="2" borderId="0" xfId="0" applyFill="1"/>
    <xf numFmtId="43" fontId="4" fillId="2" borderId="0" xfId="1" applyFont="1" applyFill="1"/>
    <xf numFmtId="17" fontId="0" fillId="0" borderId="0" xfId="0" applyNumberFormat="1"/>
    <xf numFmtId="165" fontId="0" fillId="0" borderId="0" xfId="2" applyNumberFormat="1" applyFont="1"/>
    <xf numFmtId="165" fontId="0" fillId="0" borderId="0" xfId="0" applyNumberFormat="1"/>
    <xf numFmtId="10" fontId="0" fillId="0" borderId="0" xfId="2" applyNumberFormat="1" applyFont="1"/>
    <xf numFmtId="10" fontId="0" fillId="3" borderId="0" xfId="2" applyNumberFormat="1" applyFont="1" applyFill="1"/>
    <xf numFmtId="10" fontId="0" fillId="0" borderId="0" xfId="0" applyNumberFormat="1"/>
    <xf numFmtId="0" fontId="3" fillId="2" borderId="0" xfId="0" applyFont="1" applyFill="1"/>
    <xf numFmtId="166" fontId="0" fillId="0" borderId="0" xfId="0" applyNumberFormat="1"/>
    <xf numFmtId="164" fontId="0" fillId="0" borderId="3" xfId="1" applyNumberFormat="1" applyFont="1" applyFill="1" applyBorder="1"/>
    <xf numFmtId="0" fontId="3" fillId="0" borderId="1" xfId="0" applyFont="1" applyBorder="1" applyAlignment="1">
      <alignment horizontal="center"/>
    </xf>
    <xf numFmtId="4" fontId="0" fillId="0" borderId="3" xfId="0" applyNumberFormat="1" applyBorder="1"/>
    <xf numFmtId="4" fontId="0" fillId="0" borderId="0" xfId="0" applyNumberFormat="1"/>
    <xf numFmtId="4" fontId="1" fillId="0" borderId="0" xfId="1" applyNumberFormat="1" applyFont="1" applyBorder="1"/>
    <xf numFmtId="0" fontId="3" fillId="0" borderId="2" xfId="0" applyFont="1" applyBorder="1"/>
    <xf numFmtId="0" fontId="0" fillId="0" borderId="0" xfId="1" applyNumberFormat="1" applyFont="1"/>
    <xf numFmtId="10" fontId="0" fillId="0" borderId="0" xfId="2" applyNumberFormat="1" applyFont="1" applyFill="1"/>
    <xf numFmtId="167" fontId="0" fillId="0" borderId="0" xfId="1" applyNumberFormat="1" applyFont="1"/>
    <xf numFmtId="0" fontId="7" fillId="5" borderId="4" xfId="0" applyFont="1" applyFill="1" applyBorder="1"/>
    <xf numFmtId="2" fontId="0" fillId="4" borderId="5" xfId="0" applyNumberFormat="1" applyFill="1" applyBorder="1"/>
    <xf numFmtId="0" fontId="0" fillId="4" borderId="5" xfId="0" applyFill="1" applyBorder="1"/>
    <xf numFmtId="0" fontId="0" fillId="4" borderId="6" xfId="0" applyFill="1" applyBorder="1"/>
    <xf numFmtId="2" fontId="0" fillId="4" borderId="6" xfId="0" applyNumberFormat="1" applyFill="1" applyBorder="1"/>
    <xf numFmtId="2" fontId="0" fillId="6" borderId="6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7" fillId="5" borderId="6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0" fillId="4" borderId="0" xfId="0" applyFill="1"/>
    <xf numFmtId="0" fontId="7" fillId="5" borderId="6" xfId="0" applyFont="1" applyFill="1" applyBorder="1"/>
    <xf numFmtId="0" fontId="7" fillId="5" borderId="0" xfId="0" applyFont="1" applyFill="1"/>
    <xf numFmtId="0" fontId="7" fillId="5" borderId="5" xfId="0" applyFont="1" applyFill="1" applyBorder="1"/>
    <xf numFmtId="0" fontId="0" fillId="4" borderId="10" xfId="0" applyFill="1" applyBorder="1"/>
    <xf numFmtId="0" fontId="0" fillId="4" borderId="11" xfId="0" applyFill="1" applyBorder="1"/>
    <xf numFmtId="0" fontId="8" fillId="5" borderId="5" xfId="0" applyFont="1" applyFill="1" applyBorder="1"/>
    <xf numFmtId="0" fontId="8" fillId="5" borderId="4" xfId="0" applyFont="1" applyFill="1" applyBorder="1"/>
    <xf numFmtId="2" fontId="3" fillId="4" borderId="5" xfId="0" applyNumberFormat="1" applyFont="1" applyFill="1" applyBorder="1"/>
    <xf numFmtId="0" fontId="3" fillId="4" borderId="4" xfId="0" applyFont="1" applyFill="1" applyBorder="1"/>
    <xf numFmtId="0" fontId="0" fillId="0" borderId="11" xfId="0" applyBorder="1"/>
    <xf numFmtId="0" fontId="0" fillId="4" borderId="7" xfId="0" applyFill="1" applyBorder="1"/>
    <xf numFmtId="0" fontId="0" fillId="4" borderId="9" xfId="0" applyFill="1" applyBorder="1"/>
    <xf numFmtId="10" fontId="0" fillId="7" borderId="0" xfId="2" applyNumberFormat="1" applyFont="1" applyFill="1"/>
    <xf numFmtId="10" fontId="0" fillId="7" borderId="0" xfId="0" applyNumberFormat="1" applyFill="1"/>
    <xf numFmtId="10" fontId="0" fillId="8" borderId="0" xfId="2" applyNumberFormat="1" applyFont="1" applyFill="1"/>
    <xf numFmtId="0" fontId="5" fillId="0" borderId="0" xfId="0" applyFont="1" applyAlignment="1">
      <alignment horizontal="left" vertical="top" wrapText="1"/>
    </xf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94FC5-344C-4B23-8EEA-C12EF8F8C895}">
  <dimension ref="A1:M32"/>
  <sheetViews>
    <sheetView tabSelected="1" workbookViewId="0"/>
  </sheetViews>
  <sheetFormatPr defaultRowHeight="14.4" x14ac:dyDescent="0.3"/>
  <cols>
    <col min="1" max="1" width="26.6640625" customWidth="1"/>
    <col min="2" max="2" width="8.33203125" customWidth="1"/>
    <col min="3" max="3" width="29.5546875" customWidth="1"/>
    <col min="4" max="4" width="14.6640625" style="1" customWidth="1"/>
    <col min="5" max="5" width="4.44140625" customWidth="1"/>
    <col min="6" max="6" width="15.33203125" customWidth="1"/>
    <col min="9" max="9" width="58" customWidth="1"/>
    <col min="10" max="10" width="13.44140625" customWidth="1"/>
  </cols>
  <sheetData>
    <row r="1" spans="1:10" x14ac:dyDescent="0.3">
      <c r="A1" s="4" t="s">
        <v>40</v>
      </c>
    </row>
    <row r="2" spans="1:10" x14ac:dyDescent="0.3">
      <c r="A2" t="s">
        <v>6</v>
      </c>
      <c r="B2" s="10">
        <f>'Ark2'!D25</f>
        <v>2.23E-2</v>
      </c>
      <c r="E2" s="1"/>
    </row>
    <row r="3" spans="1:10" ht="15" thickBot="1" x14ac:dyDescent="0.35">
      <c r="E3" s="1"/>
    </row>
    <row r="4" spans="1:10" ht="15" thickBot="1" x14ac:dyDescent="0.35">
      <c r="C4" s="16" t="s">
        <v>18</v>
      </c>
      <c r="D4" s="15">
        <v>37</v>
      </c>
      <c r="F4" s="53" t="s">
        <v>19</v>
      </c>
      <c r="G4" s="53"/>
    </row>
    <row r="5" spans="1:10" x14ac:dyDescent="0.3">
      <c r="F5" s="53"/>
      <c r="G5" s="53"/>
    </row>
    <row r="6" spans="1:10" x14ac:dyDescent="0.3">
      <c r="F6" s="53"/>
      <c r="G6" s="53"/>
    </row>
    <row r="7" spans="1:10" ht="15" thickBot="1" x14ac:dyDescent="0.35">
      <c r="A7" s="13" t="s">
        <v>0</v>
      </c>
      <c r="B7" s="5"/>
      <c r="C7" s="5"/>
      <c r="D7" s="6">
        <f>(62221.17/37*D4)*('Ark2'!E25)</f>
        <v>71225.808971986233</v>
      </c>
      <c r="F7" s="53"/>
      <c r="G7" s="53"/>
      <c r="I7" s="13" t="s">
        <v>10</v>
      </c>
      <c r="J7" s="13"/>
    </row>
    <row r="8" spans="1:10" ht="15" thickBot="1" x14ac:dyDescent="0.35">
      <c r="A8" t="s">
        <v>1</v>
      </c>
      <c r="D8" s="2">
        <f>D7*0.0583</f>
        <v>4152.4646630667976</v>
      </c>
      <c r="F8" s="14"/>
      <c r="I8" s="20" t="s">
        <v>12</v>
      </c>
      <c r="J8" s="17"/>
    </row>
    <row r="9" spans="1:10" x14ac:dyDescent="0.3">
      <c r="A9" t="s">
        <v>3</v>
      </c>
      <c r="D9" s="2">
        <f>D7-D8</f>
        <v>67073.344308919433</v>
      </c>
      <c r="F9" s="53" t="s">
        <v>20</v>
      </c>
      <c r="G9" s="53"/>
      <c r="I9" t="s">
        <v>7</v>
      </c>
      <c r="J9" s="18">
        <f>J8*(1+B2)</f>
        <v>0</v>
      </c>
    </row>
    <row r="10" spans="1:10" x14ac:dyDescent="0.3">
      <c r="A10" t="s">
        <v>2</v>
      </c>
      <c r="D10" s="1">
        <f>D7*0.1166</f>
        <v>8304.9293261335952</v>
      </c>
      <c r="F10" s="53"/>
      <c r="G10" s="53"/>
      <c r="J10" s="19"/>
    </row>
    <row r="11" spans="1:10" x14ac:dyDescent="0.3">
      <c r="A11" t="s">
        <v>4</v>
      </c>
      <c r="D11" s="3">
        <f>D7+D10</f>
        <v>79530.738298119832</v>
      </c>
      <c r="F11" s="53"/>
      <c r="G11" s="53"/>
      <c r="J11" s="18"/>
    </row>
    <row r="12" spans="1:10" x14ac:dyDescent="0.3">
      <c r="F12" s="53"/>
      <c r="G12" s="53"/>
    </row>
    <row r="14" spans="1:10" x14ac:dyDescent="0.3">
      <c r="D14" s="21"/>
    </row>
    <row r="19" spans="3:13" ht="15" thickBot="1" x14ac:dyDescent="0.35">
      <c r="I19" s="13" t="s">
        <v>11</v>
      </c>
      <c r="J19" s="13"/>
    </row>
    <row r="20" spans="3:13" ht="15" thickBot="1" x14ac:dyDescent="0.35">
      <c r="I20" s="20" t="s">
        <v>16</v>
      </c>
      <c r="J20" s="17"/>
    </row>
    <row r="21" spans="3:13" x14ac:dyDescent="0.3">
      <c r="I21" t="s">
        <v>14</v>
      </c>
      <c r="J21" s="18">
        <f>(J20*0.0583)*(1+B2)</f>
        <v>0</v>
      </c>
    </row>
    <row r="22" spans="3:13" x14ac:dyDescent="0.3">
      <c r="C22" s="14"/>
      <c r="I22" t="s">
        <v>13</v>
      </c>
      <c r="J22" s="18">
        <f>(J20*(1+B2))-J21</f>
        <v>0</v>
      </c>
      <c r="M22" s="18"/>
    </row>
    <row r="23" spans="3:13" x14ac:dyDescent="0.3">
      <c r="C23" s="14"/>
      <c r="I23" t="s">
        <v>15</v>
      </c>
      <c r="J23" s="18">
        <f>(J20*0.1166)*(1+B2)</f>
        <v>0</v>
      </c>
      <c r="K23" s="18"/>
    </row>
    <row r="24" spans="3:13" x14ac:dyDescent="0.3">
      <c r="D24" s="3"/>
      <c r="I24" t="s">
        <v>17</v>
      </c>
      <c r="J24" s="18">
        <f>J23+(J20*(1+B2))</f>
        <v>0</v>
      </c>
    </row>
    <row r="25" spans="3:13" x14ac:dyDescent="0.3">
      <c r="D25" s="23"/>
      <c r="J25" s="18"/>
    </row>
    <row r="26" spans="3:13" x14ac:dyDescent="0.3">
      <c r="J26" s="3"/>
    </row>
    <row r="27" spans="3:13" x14ac:dyDescent="0.3">
      <c r="D27" s="18"/>
    </row>
    <row r="28" spans="3:13" x14ac:dyDescent="0.3">
      <c r="D28" s="18"/>
    </row>
    <row r="31" spans="3:13" x14ac:dyDescent="0.3">
      <c r="J31" s="18"/>
    </row>
    <row r="32" spans="3:13" x14ac:dyDescent="0.3">
      <c r="J32" s="18"/>
    </row>
  </sheetData>
  <sheetProtection selectLockedCells="1" selectUnlockedCells="1"/>
  <mergeCells count="2">
    <mergeCell ref="F4:G7"/>
    <mergeCell ref="F9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79C0-5445-4DD3-8665-37B4BFFA899F}">
  <dimension ref="A2:J59"/>
  <sheetViews>
    <sheetView workbookViewId="0">
      <selection activeCell="A19" sqref="A19"/>
    </sheetView>
  </sheetViews>
  <sheetFormatPr defaultRowHeight="14.4" x14ac:dyDescent="0.3"/>
  <cols>
    <col min="1" max="1" width="38.33203125" bestFit="1" customWidth="1"/>
    <col min="2" max="2" width="12.5546875" bestFit="1" customWidth="1"/>
    <col min="3" max="3" width="27.33203125" customWidth="1"/>
    <col min="4" max="4" width="33.109375" customWidth="1"/>
    <col min="5" max="5" width="18" customWidth="1"/>
  </cols>
  <sheetData>
    <row r="2" spans="3:10" x14ac:dyDescent="0.3">
      <c r="D2" t="s">
        <v>8</v>
      </c>
      <c r="E2" t="s">
        <v>9</v>
      </c>
      <c r="F2" t="s">
        <v>39</v>
      </c>
    </row>
    <row r="3" spans="3:10" x14ac:dyDescent="0.3">
      <c r="C3" s="7">
        <v>44197</v>
      </c>
      <c r="E3" s="8">
        <v>1</v>
      </c>
    </row>
    <row r="4" spans="3:10" x14ac:dyDescent="0.3">
      <c r="C4" s="7">
        <v>44287</v>
      </c>
      <c r="D4" s="10">
        <v>3.7000000000000002E-3</v>
      </c>
      <c r="E4" s="10">
        <f t="shared" ref="E4:E22" si="0">E3*(1+D4)</f>
        <v>1.0037</v>
      </c>
      <c r="F4" s="10"/>
    </row>
    <row r="5" spans="3:10" x14ac:dyDescent="0.3">
      <c r="C5" s="7">
        <v>44470</v>
      </c>
      <c r="D5" s="10">
        <v>7.1999999999999998E-3</v>
      </c>
      <c r="E5" s="10">
        <f>E4*(1+D5)</f>
        <v>1.0109266400000001</v>
      </c>
      <c r="F5" s="10"/>
    </row>
    <row r="6" spans="3:10" x14ac:dyDescent="0.3">
      <c r="C6" s="7">
        <v>44652</v>
      </c>
      <c r="D6" s="10">
        <v>5.0000000000000001E-3</v>
      </c>
      <c r="E6" s="10">
        <f>E5*(1+D6)</f>
        <v>1.0159812732</v>
      </c>
      <c r="F6" s="10"/>
    </row>
    <row r="7" spans="3:10" x14ac:dyDescent="0.3">
      <c r="C7" s="7">
        <v>44835</v>
      </c>
      <c r="D7" s="10">
        <v>3.0300000000000001E-2</v>
      </c>
      <c r="E7" s="10">
        <f>E6*(1+D7)</f>
        <v>1.0467655057779599</v>
      </c>
      <c r="F7" s="10"/>
    </row>
    <row r="8" spans="3:10" x14ac:dyDescent="0.3">
      <c r="C8" s="7">
        <v>45017</v>
      </c>
      <c r="D8" s="10">
        <v>1.06E-2</v>
      </c>
      <c r="E8" s="10">
        <f t="shared" si="0"/>
        <v>1.0578612201392061</v>
      </c>
      <c r="F8" s="10"/>
    </row>
    <row r="9" spans="3:10" x14ac:dyDescent="0.3">
      <c r="C9" s="7">
        <v>45200</v>
      </c>
      <c r="D9" s="10">
        <v>7.4000000000000003E-3</v>
      </c>
      <c r="E9" s="10">
        <f t="shared" si="0"/>
        <v>1.0656893931682363</v>
      </c>
      <c r="F9" s="10"/>
    </row>
    <row r="10" spans="3:10" x14ac:dyDescent="0.3">
      <c r="C10" s="7">
        <v>45383</v>
      </c>
      <c r="D10" s="22">
        <v>2.7699999999999999E-2</v>
      </c>
      <c r="E10" s="10">
        <f t="shared" si="0"/>
        <v>1.0952089893589965</v>
      </c>
      <c r="F10" s="10"/>
    </row>
    <row r="11" spans="3:10" x14ac:dyDescent="0.3">
      <c r="C11" s="7">
        <v>45566</v>
      </c>
      <c r="D11" s="22">
        <v>1.5299999999999999E-2</v>
      </c>
      <c r="E11" s="10">
        <f t="shared" si="0"/>
        <v>1.1119656868961891</v>
      </c>
      <c r="F11" s="10"/>
      <c r="I11">
        <v>167.93</v>
      </c>
      <c r="J11">
        <v>167.93</v>
      </c>
    </row>
    <row r="12" spans="3:10" x14ac:dyDescent="0.3">
      <c r="C12" s="7">
        <v>45748</v>
      </c>
      <c r="D12" s="52">
        <v>0</v>
      </c>
      <c r="E12" s="10">
        <f t="shared" si="0"/>
        <v>1.1119656868961891</v>
      </c>
      <c r="F12" s="52">
        <v>-1.5E-3</v>
      </c>
      <c r="G12" s="12">
        <f>E11*(1+F12)</f>
        <v>1.110297738365845</v>
      </c>
      <c r="I12">
        <f>ROUND(I11*(1+D12),2)</f>
        <v>167.93</v>
      </c>
      <c r="J12">
        <f>ROUND(J11*(1+F12),2)</f>
        <v>167.68</v>
      </c>
    </row>
    <row r="13" spans="3:10" x14ac:dyDescent="0.3">
      <c r="C13" s="7">
        <v>45931</v>
      </c>
      <c r="D13" s="52">
        <v>7.0000000000000001E-3</v>
      </c>
      <c r="E13" s="10">
        <f>E12*(1+D13)</f>
        <v>1.1197494467044624</v>
      </c>
      <c r="F13" s="52">
        <v>0.01</v>
      </c>
      <c r="G13" s="12">
        <f>G12*(1+F13)</f>
        <v>1.1214007157495034</v>
      </c>
      <c r="I13">
        <f t="shared" ref="I13" si="1">ROUND(I12*(1+D13),2)</f>
        <v>169.11</v>
      </c>
      <c r="J13">
        <f>ROUND(J12*(1+F13),2)</f>
        <v>169.36</v>
      </c>
    </row>
    <row r="14" spans="3:10" x14ac:dyDescent="0.3">
      <c r="C14" s="7">
        <v>46113</v>
      </c>
      <c r="D14" s="52">
        <v>2.23E-2</v>
      </c>
      <c r="E14" s="50">
        <f>E13*(1+D14)</f>
        <v>1.144719859365972</v>
      </c>
      <c r="F14" s="52">
        <v>2.0799999999999999E-2</v>
      </c>
      <c r="G14" s="51">
        <f>G13*(1+F14)</f>
        <v>1.144725850637093</v>
      </c>
      <c r="I14">
        <f>ROUND(I13*(1+D14),2)</f>
        <v>172.88</v>
      </c>
      <c r="J14">
        <f>ROUND(J13*(1+F14),2)</f>
        <v>172.88</v>
      </c>
    </row>
    <row r="15" spans="3:10" x14ac:dyDescent="0.3">
      <c r="C15" s="7">
        <v>46296</v>
      </c>
      <c r="D15" s="11"/>
      <c r="E15" s="10">
        <f t="shared" si="0"/>
        <v>1.144719859365972</v>
      </c>
      <c r="F15" s="10"/>
    </row>
    <row r="16" spans="3:10" x14ac:dyDescent="0.3">
      <c r="C16" s="7">
        <v>46478</v>
      </c>
      <c r="D16" s="11"/>
      <c r="E16" s="10">
        <f t="shared" si="0"/>
        <v>1.144719859365972</v>
      </c>
      <c r="F16" s="10"/>
    </row>
    <row r="17" spans="3:7" x14ac:dyDescent="0.3">
      <c r="C17" s="7">
        <v>46661</v>
      </c>
      <c r="D17" s="11"/>
      <c r="E17" s="10">
        <f t="shared" si="0"/>
        <v>1.144719859365972</v>
      </c>
      <c r="F17" s="10"/>
    </row>
    <row r="18" spans="3:7" x14ac:dyDescent="0.3">
      <c r="C18" s="7">
        <v>46844</v>
      </c>
      <c r="D18" s="11"/>
      <c r="E18" s="10">
        <f t="shared" si="0"/>
        <v>1.144719859365972</v>
      </c>
      <c r="F18" s="10"/>
    </row>
    <row r="19" spans="3:7" x14ac:dyDescent="0.3">
      <c r="C19" s="7">
        <v>47027</v>
      </c>
      <c r="D19" s="11"/>
      <c r="E19" s="10">
        <f t="shared" si="0"/>
        <v>1.144719859365972</v>
      </c>
      <c r="F19" s="10"/>
    </row>
    <row r="20" spans="3:7" x14ac:dyDescent="0.3">
      <c r="C20" s="7">
        <v>47209</v>
      </c>
      <c r="D20" s="11"/>
      <c r="E20" s="10">
        <f t="shared" si="0"/>
        <v>1.144719859365972</v>
      </c>
      <c r="F20" s="10"/>
    </row>
    <row r="21" spans="3:7" x14ac:dyDescent="0.3">
      <c r="C21" s="7">
        <v>47392</v>
      </c>
      <c r="D21" s="11"/>
      <c r="E21" s="10">
        <f t="shared" si="0"/>
        <v>1.144719859365972</v>
      </c>
      <c r="F21" s="10"/>
    </row>
    <row r="22" spans="3:7" x14ac:dyDescent="0.3">
      <c r="C22" s="7">
        <v>47574</v>
      </c>
      <c r="D22" s="11"/>
      <c r="E22" s="10">
        <f t="shared" si="0"/>
        <v>1.144719859365972</v>
      </c>
      <c r="F22" s="10"/>
    </row>
    <row r="23" spans="3:7" x14ac:dyDescent="0.3">
      <c r="C23" s="7">
        <v>47757</v>
      </c>
      <c r="D23" s="11"/>
      <c r="E23" s="10">
        <f>E22*(1+D23)</f>
        <v>1.144719859365972</v>
      </c>
      <c r="F23" s="10"/>
    </row>
    <row r="24" spans="3:7" x14ac:dyDescent="0.3">
      <c r="G24" s="9"/>
    </row>
    <row r="25" spans="3:7" x14ac:dyDescent="0.3">
      <c r="C25" t="s">
        <v>5</v>
      </c>
      <c r="D25" s="12" cm="1">
        <f t="array" ref="D25">INDEX(D4:D23,COUNT(D4:D23))</f>
        <v>2.23E-2</v>
      </c>
      <c r="E25" s="10">
        <f>E23</f>
        <v>1.144719859365972</v>
      </c>
      <c r="F25" s="12"/>
    </row>
    <row r="36" spans="1:6" x14ac:dyDescent="0.3">
      <c r="A36" t="s">
        <v>21</v>
      </c>
    </row>
    <row r="37" spans="1:6" x14ac:dyDescent="0.3">
      <c r="A37" t="s">
        <v>22</v>
      </c>
      <c r="B37" t="s">
        <v>23</v>
      </c>
    </row>
    <row r="39" spans="1:6" x14ac:dyDescent="0.3">
      <c r="A39" s="30"/>
      <c r="B39" s="31"/>
      <c r="C39" s="30" t="s">
        <v>23</v>
      </c>
      <c r="D39" s="32"/>
      <c r="E39" s="30" t="s">
        <v>24</v>
      </c>
      <c r="F39" s="32"/>
    </row>
    <row r="40" spans="1:6" x14ac:dyDescent="0.3">
      <c r="A40" s="33" t="s">
        <v>25</v>
      </c>
      <c r="C40" s="33">
        <v>119.8008</v>
      </c>
      <c r="D40" s="34"/>
      <c r="E40" s="33">
        <v>116.18</v>
      </c>
      <c r="F40" s="34"/>
    </row>
    <row r="41" spans="1:6" x14ac:dyDescent="0.3">
      <c r="A41" s="35"/>
      <c r="B41" s="36"/>
      <c r="C41" s="27"/>
      <c r="D41" s="41"/>
      <c r="E41" s="27"/>
      <c r="F41" s="34"/>
    </row>
    <row r="42" spans="1:6" x14ac:dyDescent="0.3">
      <c r="A42" s="38"/>
      <c r="B42" s="39"/>
      <c r="C42" s="27"/>
      <c r="D42" s="41"/>
      <c r="E42" s="27"/>
      <c r="F42" s="34"/>
    </row>
    <row r="43" spans="1:6" x14ac:dyDescent="0.3">
      <c r="A43" s="40" t="s">
        <v>26</v>
      </c>
      <c r="B43" s="24"/>
      <c r="C43" s="25">
        <f>(C40/E40-1)*100</f>
        <v>3.1165432948872418</v>
      </c>
      <c r="D43" s="42" t="s">
        <v>27</v>
      </c>
      <c r="E43" s="26"/>
      <c r="F43" s="47"/>
    </row>
    <row r="44" spans="1:6" x14ac:dyDescent="0.3">
      <c r="A44" s="38"/>
      <c r="B44" s="39"/>
      <c r="C44" s="48"/>
      <c r="D44" s="49"/>
      <c r="E44" s="48"/>
      <c r="F44" s="32"/>
    </row>
    <row r="45" spans="1:6" x14ac:dyDescent="0.3">
      <c r="A45" s="33" t="s">
        <v>28</v>
      </c>
      <c r="C45" s="33">
        <v>100.27</v>
      </c>
      <c r="D45" s="34"/>
      <c r="E45" s="33">
        <v>101.31</v>
      </c>
      <c r="F45" s="34"/>
    </row>
    <row r="46" spans="1:6" x14ac:dyDescent="0.3">
      <c r="A46" s="38" t="s">
        <v>29</v>
      </c>
      <c r="B46" s="39"/>
      <c r="C46" s="28">
        <f>(C45/E45-1)*100</f>
        <v>-1.0265521666173227</v>
      </c>
      <c r="D46" s="41" t="s">
        <v>27</v>
      </c>
      <c r="E46" s="27"/>
      <c r="F46" s="41"/>
    </row>
    <row r="47" spans="1:6" x14ac:dyDescent="0.3">
      <c r="A47" s="38"/>
      <c r="B47" s="39"/>
      <c r="C47" s="27"/>
      <c r="D47" s="41"/>
      <c r="E47" s="27"/>
      <c r="F47" s="41"/>
    </row>
    <row r="48" spans="1:6" x14ac:dyDescent="0.3">
      <c r="A48" s="38" t="s">
        <v>30</v>
      </c>
      <c r="B48" s="39"/>
      <c r="C48" s="27"/>
      <c r="D48" s="41"/>
      <c r="E48" s="27"/>
      <c r="F48" s="41"/>
    </row>
    <row r="49" spans="1:6" x14ac:dyDescent="0.3">
      <c r="A49" s="38" t="s">
        <v>31</v>
      </c>
      <c r="B49" s="36"/>
      <c r="C49" s="28">
        <f>C46*0.25</f>
        <v>-0.25663804165433068</v>
      </c>
      <c r="D49" s="41" t="s">
        <v>27</v>
      </c>
      <c r="E49" s="27"/>
      <c r="F49" s="41"/>
    </row>
    <row r="50" spans="1:6" x14ac:dyDescent="0.3">
      <c r="A50" s="38"/>
      <c r="B50" s="39"/>
      <c r="C50" s="27"/>
      <c r="D50" s="41"/>
      <c r="E50" s="27"/>
      <c r="F50" s="41"/>
    </row>
    <row r="51" spans="1:6" x14ac:dyDescent="0.3">
      <c r="A51" s="38" t="s">
        <v>32</v>
      </c>
      <c r="B51" s="39"/>
      <c r="C51" s="27"/>
      <c r="D51" s="41"/>
      <c r="E51" s="27"/>
      <c r="F51" s="41"/>
    </row>
    <row r="52" spans="1:6" x14ac:dyDescent="0.3">
      <c r="A52" s="38" t="s">
        <v>33</v>
      </c>
      <c r="B52" s="39"/>
      <c r="C52" s="27"/>
      <c r="D52" s="41"/>
      <c r="E52" s="27"/>
      <c r="F52" s="41"/>
    </row>
    <row r="53" spans="1:6" x14ac:dyDescent="0.3">
      <c r="A53" s="38" t="s">
        <v>34</v>
      </c>
      <c r="B53" s="39"/>
      <c r="C53" s="28">
        <f>C43*0.75</f>
        <v>2.3374074711654313</v>
      </c>
      <c r="D53" s="41" t="s">
        <v>27</v>
      </c>
      <c r="E53" s="27"/>
      <c r="F53" s="41"/>
    </row>
    <row r="54" spans="1:6" x14ac:dyDescent="0.3">
      <c r="A54" s="38"/>
      <c r="B54" s="39"/>
      <c r="C54" s="27"/>
      <c r="D54" s="41"/>
      <c r="E54" s="27"/>
      <c r="F54" s="41"/>
    </row>
    <row r="55" spans="1:6" x14ac:dyDescent="0.3">
      <c r="A55" s="40" t="s">
        <v>35</v>
      </c>
      <c r="B55" s="24"/>
      <c r="C55" s="25">
        <f>C53+C49</f>
        <v>2.0807694295111006</v>
      </c>
      <c r="D55" s="42" t="s">
        <v>27</v>
      </c>
      <c r="E55" s="26"/>
      <c r="F55" s="42"/>
    </row>
    <row r="56" spans="1:6" x14ac:dyDescent="0.3">
      <c r="A56" s="38"/>
      <c r="B56" s="39"/>
      <c r="C56" s="27"/>
      <c r="D56" s="37"/>
      <c r="E56" s="27"/>
      <c r="F56" s="41"/>
    </row>
    <row r="57" spans="1:6" x14ac:dyDescent="0.3">
      <c r="A57" s="38" t="s">
        <v>36</v>
      </c>
      <c r="B57" t="s">
        <v>23</v>
      </c>
      <c r="C57" s="28">
        <f>C55</f>
        <v>2.0807694295111006</v>
      </c>
      <c r="D57" s="37" t="s">
        <v>27</v>
      </c>
      <c r="E57" s="29">
        <v>1</v>
      </c>
      <c r="F57" s="41" t="s">
        <v>27</v>
      </c>
    </row>
    <row r="58" spans="1:6" x14ac:dyDescent="0.3">
      <c r="A58" s="40" t="s">
        <v>37</v>
      </c>
      <c r="B58" s="24"/>
      <c r="C58" s="26"/>
      <c r="D58" s="37" t="s">
        <v>27</v>
      </c>
      <c r="E58" s="26"/>
      <c r="F58" s="42"/>
    </row>
    <row r="59" spans="1:6" x14ac:dyDescent="0.3">
      <c r="A59" s="43" t="s">
        <v>38</v>
      </c>
      <c r="B59" s="44"/>
      <c r="C59" s="45">
        <f>ROUND(C57+C58,2)</f>
        <v>2.08</v>
      </c>
      <c r="D59" s="46" t="s">
        <v>27</v>
      </c>
      <c r="E59" s="26"/>
      <c r="F59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Møhncke-Dose</dc:creator>
  <cp:lastModifiedBy>Tine Backhausen</cp:lastModifiedBy>
  <cp:lastPrinted>2020-11-17T09:25:12Z</cp:lastPrinted>
  <dcterms:created xsi:type="dcterms:W3CDTF">2020-11-12T14:21:38Z</dcterms:created>
  <dcterms:modified xsi:type="dcterms:W3CDTF">2026-07-08T11:21:09Z</dcterms:modified>
</cp:coreProperties>
</file>