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el\Desktop\"/>
    </mc:Choice>
  </mc:AlternateContent>
  <xr:revisionPtr revIDLastSave="0" documentId="8_{796ADAF2-AD67-44FD-B241-E59B414ECC98}" xr6:coauthVersionLast="45" xr6:coauthVersionMax="45" xr10:uidLastSave="{00000000-0000-0000-0000-000000000000}"/>
  <bookViews>
    <workbookView xWindow="-120" yWindow="-120" windowWidth="29040" windowHeight="15840" xr2:uid="{78015DF5-C306-4F15-95F1-5465180BD79A}"/>
  </bookViews>
  <sheets>
    <sheet name="2020-2021" sheetId="1" r:id="rId1"/>
    <sheet name="2021-2022" sheetId="4" r:id="rId2"/>
    <sheet name="Overgangsordning feriefridag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4" l="1"/>
  <c r="P17" i="4"/>
  <c r="P16" i="4"/>
  <c r="P15" i="4"/>
  <c r="P14" i="4"/>
  <c r="P13" i="4"/>
  <c r="P12" i="4"/>
  <c r="P11" i="4"/>
  <c r="P10" i="4"/>
  <c r="P9" i="4"/>
  <c r="P8" i="4"/>
  <c r="P7" i="4"/>
  <c r="R4" i="4"/>
  <c r="P18" i="1"/>
  <c r="P17" i="1"/>
  <c r="P16" i="1"/>
  <c r="P15" i="1"/>
  <c r="P14" i="1"/>
  <c r="P13" i="1"/>
  <c r="P12" i="1"/>
  <c r="P11" i="1"/>
  <c r="P10" i="1"/>
  <c r="P9" i="1"/>
  <c r="P8" i="1"/>
  <c r="P7" i="1"/>
  <c r="S7" i="1" s="1"/>
  <c r="F11" i="1"/>
  <c r="F8" i="1"/>
  <c r="G7" i="5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S7" i="4" l="1"/>
  <c r="Q7" i="4"/>
  <c r="Q8" i="4" s="1"/>
  <c r="Q7" i="1"/>
  <c r="Q8" i="1" s="1"/>
  <c r="S8" i="1" s="1"/>
  <c r="F18" i="4"/>
  <c r="F17" i="4"/>
  <c r="F16" i="4"/>
  <c r="F15" i="4"/>
  <c r="F14" i="4"/>
  <c r="F13" i="4"/>
  <c r="F12" i="4"/>
  <c r="F11" i="4"/>
  <c r="F10" i="4"/>
  <c r="F9" i="4"/>
  <c r="F8" i="4"/>
  <c r="F7" i="4"/>
  <c r="F18" i="1"/>
  <c r="F17" i="1"/>
  <c r="F16" i="1"/>
  <c r="F15" i="1"/>
  <c r="F14" i="1"/>
  <c r="F13" i="1"/>
  <c r="F12" i="1"/>
  <c r="F10" i="1"/>
  <c r="F9" i="1"/>
  <c r="F7" i="1"/>
  <c r="Q9" i="4" l="1"/>
  <c r="Q9" i="1"/>
  <c r="S9" i="1" s="1"/>
  <c r="H4" i="4"/>
  <c r="Q10" i="4" l="1"/>
  <c r="Q10" i="1"/>
  <c r="S10" i="1" s="1"/>
  <c r="I7" i="4"/>
  <c r="I7" i="1"/>
  <c r="Q11" i="4" l="1"/>
  <c r="Q11" i="1"/>
  <c r="S11" i="1" s="1"/>
  <c r="G7" i="4"/>
  <c r="G8" i="4" s="1"/>
  <c r="G7" i="1"/>
  <c r="G8" i="1" s="1"/>
  <c r="I8" i="1" s="1"/>
  <c r="G9" i="4" l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Q12" i="4"/>
  <c r="Q12" i="1"/>
  <c r="S12" i="1" s="1"/>
  <c r="G9" i="1"/>
  <c r="Q13" i="4" l="1"/>
  <c r="Q13" i="1"/>
  <c r="S13" i="1" s="1"/>
  <c r="G10" i="1"/>
  <c r="I9" i="1"/>
  <c r="Q14" i="4" l="1"/>
  <c r="Q14" i="1"/>
  <c r="S14" i="1" s="1"/>
  <c r="G11" i="1"/>
  <c r="I10" i="1"/>
  <c r="Q15" i="4" l="1"/>
  <c r="Q15" i="1"/>
  <c r="S15" i="1" s="1"/>
  <c r="G12" i="1"/>
  <c r="I11" i="1"/>
  <c r="Q16" i="4" l="1"/>
  <c r="Q16" i="1"/>
  <c r="S16" i="1" s="1"/>
  <c r="I12" i="1"/>
  <c r="G13" i="1"/>
  <c r="Q17" i="4" l="1"/>
  <c r="Q17" i="1"/>
  <c r="S17" i="1" s="1"/>
  <c r="G14" i="1"/>
  <c r="I13" i="1"/>
  <c r="Q18" i="4" l="1"/>
  <c r="Q18" i="1"/>
  <c r="S18" i="1" s="1"/>
  <c r="I14" i="1"/>
  <c r="G15" i="1"/>
  <c r="Q19" i="4" l="1"/>
  <c r="Q19" i="1"/>
  <c r="S19" i="1" s="1"/>
  <c r="G16" i="1"/>
  <c r="I15" i="1"/>
  <c r="Q20" i="4" l="1"/>
  <c r="Q20" i="1"/>
  <c r="S20" i="1" s="1"/>
  <c r="G17" i="1"/>
  <c r="I16" i="1"/>
  <c r="Q21" i="4" l="1"/>
  <c r="Q21" i="1"/>
  <c r="S21" i="1" s="1"/>
  <c r="G18" i="1"/>
  <c r="I17" i="1"/>
  <c r="Q22" i="4" l="1"/>
  <c r="Q22" i="1"/>
  <c r="S22" i="1" s="1"/>
  <c r="I18" i="1"/>
  <c r="G19" i="1"/>
  <c r="U7" i="4" l="1"/>
  <c r="U20" i="1"/>
  <c r="R8" i="4"/>
  <c r="R9" i="4"/>
  <c r="R10" i="4"/>
  <c r="R7" i="4"/>
  <c r="S25" i="1"/>
  <c r="I19" i="1"/>
  <c r="G20" i="1"/>
  <c r="S22" i="4" l="1"/>
  <c r="U20" i="4" s="1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I20" i="1"/>
  <c r="G21" i="1"/>
  <c r="I21" i="1" l="1"/>
  <c r="G22" i="1"/>
  <c r="I22" i="1" s="1"/>
  <c r="K7" i="4" l="1"/>
  <c r="K20" i="1"/>
  <c r="H7" i="4"/>
  <c r="H10" i="4"/>
  <c r="H8" i="4"/>
  <c r="H9" i="4"/>
  <c r="I25" i="1"/>
  <c r="I9" i="4" l="1"/>
  <c r="I8" i="4"/>
  <c r="I15" i="4"/>
  <c r="I20" i="4"/>
  <c r="I14" i="4"/>
  <c r="I11" i="4"/>
  <c r="I22" i="4"/>
  <c r="K20" i="4" s="1"/>
  <c r="I17" i="4"/>
  <c r="I16" i="4"/>
  <c r="I18" i="4"/>
  <c r="I10" i="4"/>
  <c r="I12" i="4"/>
  <c r="I21" i="4"/>
  <c r="I19" i="4"/>
  <c r="I13" i="4"/>
</calcChain>
</file>

<file path=xl/sharedStrings.xml><?xml version="1.0" encoding="utf-8"?>
<sst xmlns="http://schemas.openxmlformats.org/spreadsheetml/2006/main" count="146" uniqueCount="56">
  <si>
    <t>Måned/år</t>
  </si>
  <si>
    <t>September 2020</t>
  </si>
  <si>
    <t>Oktober 2020</t>
  </si>
  <si>
    <t>November 2020</t>
  </si>
  <si>
    <t>December 2020</t>
  </si>
  <si>
    <t>Januar 2021</t>
  </si>
  <si>
    <t>Februar 2021</t>
  </si>
  <si>
    <t>Marts 2021</t>
  </si>
  <si>
    <t>April 2021</t>
  </si>
  <si>
    <t>Maj 2021</t>
  </si>
  <si>
    <t>Juni 2021</t>
  </si>
  <si>
    <t>Juli 2021</t>
  </si>
  <si>
    <t>August 2021</t>
  </si>
  <si>
    <t>September 2021</t>
  </si>
  <si>
    <t>Oktober 2021</t>
  </si>
  <si>
    <t>November 2021</t>
  </si>
  <si>
    <t>December 2021</t>
  </si>
  <si>
    <t>Januar 2022</t>
  </si>
  <si>
    <t>Februar 2022</t>
  </si>
  <si>
    <t>Marts 2022</t>
  </si>
  <si>
    <t>April 2022</t>
  </si>
  <si>
    <t>Maj 2022</t>
  </si>
  <si>
    <t>Juni 2022</t>
  </si>
  <si>
    <t>Juli 2022</t>
  </si>
  <si>
    <t>August 2022</t>
  </si>
  <si>
    <t>September 2022</t>
  </si>
  <si>
    <t>Oktober 2022</t>
  </si>
  <si>
    <t>November 2022</t>
  </si>
  <si>
    <t>December 2022</t>
  </si>
  <si>
    <t>Overførte feriefridage pr. 31. august 2020</t>
  </si>
  <si>
    <t>Afviklede eller planlagte feriefridage</t>
  </si>
  <si>
    <t>Feriefridags-saldo</t>
  </si>
  <si>
    <t>Feriefridage 1. september 2020 - 31. december 2021</t>
  </si>
  <si>
    <t>Feriefridage 1. september 2021 - 31. december 2022</t>
  </si>
  <si>
    <t>Overførte feriefridage pr. 31. december 2021</t>
  </si>
  <si>
    <t>Antal dage overføres</t>
  </si>
  <si>
    <t>Antal dage udbetales</t>
  </si>
  <si>
    <t>Første hele ansættelsesmåned (fx december 2020):</t>
  </si>
  <si>
    <t>OBS: Hvis medarbejderen ikke er ansat den 1. i en måned, skal du manuelt regne den optjente ferie ud og indsætte under "optjent" i skemaet. Der optjenes 0,07 feriedag og 0,014 feriefridag pr. ansættelsesdag.</t>
  </si>
  <si>
    <t>Første hele ansættelsesmåned (fx december 2021):</t>
  </si>
  <si>
    <t>Antal måneders ansættelse i perioden 1. januar 2020 - 31. august 2020</t>
  </si>
  <si>
    <t xml:space="preserve"> </t>
  </si>
  <si>
    <t>Feriefridagssaldo</t>
  </si>
  <si>
    <t>Feriedage 1. september 2020 - 31. december 2021</t>
  </si>
  <si>
    <t>Uafholdte feriedage pr. 31. august 2020</t>
  </si>
  <si>
    <t>Afviklede eller planlagte feriedage</t>
  </si>
  <si>
    <t>Feriesaldo</t>
  </si>
  <si>
    <t>Feriedage 1. september 2021 - 31. december 2022</t>
  </si>
  <si>
    <t>Overførte feriedage pr. 31. december 2021</t>
  </si>
  <si>
    <t>Optjente feriefridage*</t>
  </si>
  <si>
    <t>Skriv i dette felt, hvis ansat efter 1. september 2020</t>
  </si>
  <si>
    <t>Skriv i dette felt, hvis ansat efter 1. september 2021</t>
  </si>
  <si>
    <t xml:space="preserve">*Afrundede værdier. Der optjenes 5 feriefridage pr. ferieår. </t>
  </si>
  <si>
    <t>Optjent*</t>
  </si>
  <si>
    <t>Optjente feriedage*</t>
  </si>
  <si>
    <t xml:space="preserve">*Afrundede værdier. Der optjenes 25 feriedage pr. ferieår.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</si>
</sst>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color rgb="FF00557A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57A"/>
        <bgColor indexed="64"/>
      </patternFill>
    </fill>
    <fill>
      <patternFill patternType="solid">
        <fgColor rgb="FFB3C6D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4">
    <xf numFmtId="0" fontId="0" fillId="0" borderId="0" xfId="0"/>
    <xf numFmtId="49" fontId="0" fillId="0" borderId="0" xfId="0" applyNumberFormat="1"/>
    <xf numFmtId="49" fontId="0" fillId="0" borderId="4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0" xfId="0" applyFill="1" applyBorder="1" applyAlignment="1"/>
    <xf numFmtId="49" fontId="0" fillId="0" borderId="0" xfId="0" applyNumberFormat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49" fontId="0" fillId="0" borderId="9" xfId="0" applyNumberFormat="1" applyBorder="1" applyAlignment="1">
      <alignment horizontal="left" vertical="center"/>
    </xf>
    <xf numFmtId="2" fontId="5" fillId="0" borderId="0" xfId="0" applyNumberFormat="1" applyFont="1"/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0" fillId="3" borderId="1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7" fillId="2" borderId="0" xfId="0" applyFont="1" applyFill="1"/>
    <xf numFmtId="2" fontId="9" fillId="0" borderId="5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" fontId="0" fillId="0" borderId="0" xfId="0" applyNumberFormat="1"/>
    <xf numFmtId="2" fontId="0" fillId="0" borderId="0" xfId="0" applyNumberFormat="1"/>
    <xf numFmtId="0" fontId="6" fillId="2" borderId="2" xfId="0" applyFont="1" applyFill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left" vertical="center"/>
    </xf>
    <xf numFmtId="0" fontId="0" fillId="3" borderId="12" xfId="0" applyFont="1" applyFill="1" applyBorder="1" applyAlignment="1">
      <alignment horizontal="center" vertical="center"/>
    </xf>
    <xf numFmtId="49" fontId="0" fillId="0" borderId="9" xfId="0" applyNumberFormat="1" applyFont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/>
    <xf numFmtId="49" fontId="0" fillId="0" borderId="10" xfId="0" applyNumberFormat="1" applyFont="1" applyBorder="1" applyAlignment="1">
      <alignment horizontal="left" vertical="center"/>
    </xf>
    <xf numFmtId="0" fontId="0" fillId="3" borderId="13" xfId="0" applyFont="1" applyFill="1" applyBorder="1"/>
    <xf numFmtId="43" fontId="0" fillId="0" borderId="0" xfId="1" applyFont="1"/>
    <xf numFmtId="2" fontId="0" fillId="3" borderId="11" xfId="0" applyNumberFormat="1" applyFill="1" applyBorder="1" applyAlignment="1">
      <alignment horizontal="center" vertical="center"/>
    </xf>
    <xf numFmtId="49" fontId="0" fillId="3" borderId="11" xfId="0" applyNumberForma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2" fontId="0" fillId="0" borderId="14" xfId="0" applyNumberForma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22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B3C6D2"/>
      <color rgb="FF00557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PL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A5B1B"/>
      </a:accent1>
      <a:accent2>
        <a:srgbClr val="9A999A"/>
      </a:accent2>
      <a:accent3>
        <a:srgbClr val="C0D3C8"/>
      </a:accent3>
      <a:accent4>
        <a:srgbClr val="2E3335"/>
      </a:accent4>
      <a:accent5>
        <a:srgbClr val="FFC000"/>
      </a:accent5>
      <a:accent6>
        <a:srgbClr val="BDD7E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462E-2BA9-4B97-99AB-A8C0952D47E3}">
  <dimension ref="B1:W28"/>
  <sheetViews>
    <sheetView tabSelected="1" zoomScale="70" zoomScaleNormal="70" workbookViewId="0"/>
  </sheetViews>
  <sheetFormatPr defaultRowHeight="15" x14ac:dyDescent="0.25"/>
  <cols>
    <col min="2" max="2" width="33" bestFit="1" customWidth="1"/>
    <col min="3" max="3" width="26.7109375" customWidth="1"/>
    <col min="4" max="4" width="5.42578125" customWidth="1"/>
    <col min="5" max="5" width="15.42578125" style="1" bestFit="1" customWidth="1"/>
    <col min="6" max="6" width="15.42578125" style="1" customWidth="1"/>
    <col min="7" max="7" width="23.5703125" customWidth="1"/>
    <col min="8" max="8" width="18.5703125" customWidth="1"/>
    <col min="9" max="9" width="13.85546875" customWidth="1"/>
    <col min="10" max="10" width="2.42578125" customWidth="1"/>
    <col min="13" max="13" width="30.7109375" customWidth="1"/>
    <col min="14" max="14" width="21.42578125" customWidth="1"/>
    <col min="15" max="16" width="15.42578125" customWidth="1"/>
    <col min="17" max="17" width="23.42578125" customWidth="1"/>
    <col min="18" max="18" width="18.5703125" customWidth="1"/>
    <col min="19" max="19" width="13.85546875" customWidth="1"/>
    <col min="23" max="23" width="30.5703125" customWidth="1"/>
  </cols>
  <sheetData>
    <row r="1" spans="2:19" x14ac:dyDescent="0.25">
      <c r="E1"/>
      <c r="F1"/>
    </row>
    <row r="2" spans="2:19" ht="17.25" x14ac:dyDescent="0.3">
      <c r="E2" s="63" t="s">
        <v>32</v>
      </c>
      <c r="F2" s="63"/>
      <c r="G2" s="63"/>
      <c r="H2" s="63"/>
      <c r="I2" s="63"/>
      <c r="O2" s="63" t="s">
        <v>43</v>
      </c>
      <c r="P2" s="63"/>
      <c r="Q2" s="63"/>
      <c r="R2" s="63"/>
      <c r="S2" s="63"/>
    </row>
    <row r="3" spans="2:19" ht="17.25" x14ac:dyDescent="0.3">
      <c r="E3" s="18"/>
      <c r="F3" s="18"/>
      <c r="G3" s="18"/>
      <c r="H3" s="18"/>
      <c r="I3" s="18"/>
      <c r="O3" s="36"/>
      <c r="P3" s="36"/>
      <c r="Q3" s="36"/>
      <c r="R3" s="36"/>
      <c r="S3" s="36"/>
    </row>
    <row r="4" spans="2:19" ht="30" customHeight="1" x14ac:dyDescent="0.25">
      <c r="E4" s="64" t="s">
        <v>29</v>
      </c>
      <c r="F4" s="65"/>
      <c r="G4" s="65"/>
      <c r="H4" s="35"/>
      <c r="O4" s="64" t="s">
        <v>44</v>
      </c>
      <c r="P4" s="65"/>
      <c r="Q4" s="65"/>
      <c r="R4" s="55"/>
    </row>
    <row r="5" spans="2:19" x14ac:dyDescent="0.25">
      <c r="E5"/>
      <c r="F5"/>
      <c r="K5" s="14"/>
      <c r="L5" s="14"/>
      <c r="M5" s="14"/>
      <c r="R5" s="54"/>
    </row>
    <row r="6" spans="2:19" ht="47.25" customHeight="1" x14ac:dyDescent="0.25">
      <c r="B6" s="39" t="s">
        <v>37</v>
      </c>
      <c r="C6" s="56" t="s">
        <v>50</v>
      </c>
      <c r="E6" s="21" t="s">
        <v>0</v>
      </c>
      <c r="F6" s="22" t="s">
        <v>53</v>
      </c>
      <c r="G6" s="23" t="s">
        <v>49</v>
      </c>
      <c r="H6" s="23" t="s">
        <v>30</v>
      </c>
      <c r="I6" s="27" t="s">
        <v>31</v>
      </c>
      <c r="K6" s="14"/>
      <c r="L6" s="14"/>
      <c r="M6" s="14"/>
      <c r="O6" s="21" t="s">
        <v>0</v>
      </c>
      <c r="P6" s="22" t="s">
        <v>53</v>
      </c>
      <c r="Q6" s="23" t="s">
        <v>54</v>
      </c>
      <c r="R6" s="23" t="s">
        <v>45</v>
      </c>
      <c r="S6" s="27" t="s">
        <v>46</v>
      </c>
    </row>
    <row r="7" spans="2:19" ht="20.100000000000001" customHeight="1" x14ac:dyDescent="0.25">
      <c r="B7" s="61" t="s">
        <v>38</v>
      </c>
      <c r="E7" s="2" t="s">
        <v>1</v>
      </c>
      <c r="F7" s="15">
        <f>IF(OR($C$6="oktober 2020",$C$6="november 2020",$C$6="december 2020",$C$6="januar 2021",$C$6="februar 2021",$C$6="marts 2021",$C$6="april 2021",$C$6="maj 2021",$C$6="juni 2021",$C$6="juli 2021",$C$6="august 2021",$C$6="september 2021",$C$6="oktober 2021",$C$6="november 2021",$C$6="december 2021"),0,5/12)</f>
        <v>0.41666666666666669</v>
      </c>
      <c r="G7" s="4">
        <f>F7</f>
        <v>0.41666666666666669</v>
      </c>
      <c r="H7" s="24"/>
      <c r="I7" s="12">
        <f>F7+H4</f>
        <v>0.41666666666666669</v>
      </c>
      <c r="O7" s="2" t="s">
        <v>1</v>
      </c>
      <c r="P7" s="15">
        <f>IF(OR($C$6="oktober 2020",$C$6="november 2020",$C$6="december 2020",$C$6="januar 2021",$C$6="februar 2021",$C$6="marts 2021",$C$6="april 2021",$C$6="maj 2021",$C$6="juni 2021",$C$6="juli 2021",$C$6="august 2021",$C$6="september 2021",$C$6="oktober 2021",$C$6="november 2021",$C$6="december 2021"),0,25/12)</f>
        <v>2.0833333333333335</v>
      </c>
      <c r="Q7" s="4">
        <f>P7</f>
        <v>2.0833333333333335</v>
      </c>
      <c r="R7" s="24"/>
      <c r="S7" s="12">
        <f>P7+R4</f>
        <v>2.0833333333333335</v>
      </c>
    </row>
    <row r="8" spans="2:19" ht="20.100000000000001" customHeight="1" x14ac:dyDescent="0.25">
      <c r="B8" s="62"/>
      <c r="E8" s="2" t="s">
        <v>2</v>
      </c>
      <c r="F8" s="15">
        <f>IF(OR(C6="november 2020",C6="december 2020",C6="januar 2021",C6="februar 2021",C6="marts 2021",C6="april 2021",C6="maj 2021",C6="juni 2021",C6="juli 2021",C6="august 2021",C6="september 2021",C6="oktober 2021",C6="november P72021",C6="december 2021"),0,5/12)</f>
        <v>0.41666666666666669</v>
      </c>
      <c r="G8" s="5">
        <f>G7+F8</f>
        <v>0.83333333333333337</v>
      </c>
      <c r="H8" s="25"/>
      <c r="I8" s="12">
        <f>G8+$H$4-SUM(H7:H8)</f>
        <v>0.83333333333333337</v>
      </c>
      <c r="O8" s="2" t="s">
        <v>2</v>
      </c>
      <c r="P8" s="15">
        <f>IF(OR($C$6="november 2020",$C$6="december 2020",$C$6="januar 2021",$C$6="februar 2021",$C$6="marts 2021",$C$6="april 2021",$C$6="maj 2021",$C$6="juni 2021",$C$6="juli 2021",$C$6="august 2021",$C$6="september 2021",$C$6="oktober 2021",$C$6="november 2021",$C$6="december 2021"),0,25/12)</f>
        <v>2.0833333333333335</v>
      </c>
      <c r="Q8" s="5">
        <f>Q7+P8</f>
        <v>4.166666666666667</v>
      </c>
      <c r="R8" s="25"/>
      <c r="S8" s="12">
        <f>Q8+$R$4-SUM($R$7:R8)</f>
        <v>4.166666666666667</v>
      </c>
    </row>
    <row r="9" spans="2:19" ht="20.100000000000001" customHeight="1" x14ac:dyDescent="0.25">
      <c r="B9" s="62"/>
      <c r="E9" s="2" t="s">
        <v>3</v>
      </c>
      <c r="F9" s="15">
        <f>IF(OR(C6="december 2020",C6="januar 2021",C6="februar 2021",C6="marts 2021",C6="april 2021",C6="maj 2021",C6="juni 2021",C6="juli 2021",C6="august 2021",C6="september 2021",C6="oktober 2021",C6="november 2021",C6="december 2021"),0,5/12)</f>
        <v>0.41666666666666669</v>
      </c>
      <c r="G9" s="5">
        <f t="shared" ref="G9:G22" si="0">G8+F9</f>
        <v>1.25</v>
      </c>
      <c r="H9" s="25"/>
      <c r="I9" s="12">
        <f>G9+$H$4-SUM(H7:H9)</f>
        <v>1.25</v>
      </c>
      <c r="O9" s="2" t="s">
        <v>3</v>
      </c>
      <c r="P9" s="15">
        <f>IF(OR($C$6="december 2020",$C$6="januar 2021",$C$6="februar 2021",$C$6="marts 2021",$C$6="april 2021",$C$6="maj 2021",$C$6="juni 2021",$C$6="juli 2021",$C$6="august 2021",$C$6="september 2021",$C$6="oktober 2021",$C$6="november 2021",$C$6="december 2021"),0,25/12)</f>
        <v>2.0833333333333335</v>
      </c>
      <c r="Q9" s="5">
        <f t="shared" ref="Q9:Q22" si="1">Q8+P9</f>
        <v>6.25</v>
      </c>
      <c r="R9" s="25"/>
      <c r="S9" s="12">
        <f>Q9+$R$4-SUM($R$7:R9)</f>
        <v>6.25</v>
      </c>
    </row>
    <row r="10" spans="2:19" ht="20.100000000000001" customHeight="1" x14ac:dyDescent="0.25">
      <c r="B10" s="62"/>
      <c r="E10" s="2" t="s">
        <v>4</v>
      </c>
      <c r="F10" s="15">
        <f>IF(OR(C6="januar 2021",C6="februar 2021",C6="marts 2021",C6="april 2021",C6="maj 2021",C6="juni 2021",C6="juli 2021",C6="august 2021",C6="september 2021",C6="oktober 2021",C6="november 2021",C6="december 2021"),0,5/12)</f>
        <v>0.41666666666666669</v>
      </c>
      <c r="G10" s="5">
        <f t="shared" si="0"/>
        <v>1.6666666666666667</v>
      </c>
      <c r="H10" s="25"/>
      <c r="I10" s="12">
        <f>G10+$H$4-SUM(H7:H10)</f>
        <v>1.6666666666666667</v>
      </c>
      <c r="O10" s="2" t="s">
        <v>4</v>
      </c>
      <c r="P10" s="15">
        <f>IF(OR($C$6="januar 2021",$C$6="februar 2021",$C$6="marts 2021",$C$6="april 2021",$C$6="maj 2021",$C$6="juni 2021",$C$6="juli 2021",$C$6="august 2021",$C$6="september 2021",$C$6="oktober 2021",$C$6="november 2021",$C$6="december 2021"),0,25/12)</f>
        <v>2.0833333333333335</v>
      </c>
      <c r="Q10" s="5">
        <f t="shared" si="1"/>
        <v>8.3333333333333339</v>
      </c>
      <c r="R10" s="25"/>
      <c r="S10" s="12">
        <f>Q10+$R$4-SUM($R$7:R10)</f>
        <v>8.3333333333333339</v>
      </c>
    </row>
    <row r="11" spans="2:19" ht="20.100000000000001" customHeight="1" x14ac:dyDescent="0.25">
      <c r="B11" s="62"/>
      <c r="E11" s="2" t="s">
        <v>5</v>
      </c>
      <c r="F11" s="15">
        <f>IF(OR(C6="februar 2021",C6="marts 2021",C6="april 2021",C6="maj 2021",C6="juni 2021",C6="juli 2021",C6="august 2021",C6="september 2021",C6="oktober 2021",C6="november 2021",C6="december 2021"),0,5/12)</f>
        <v>0.41666666666666669</v>
      </c>
      <c r="G11" s="5">
        <f t="shared" si="0"/>
        <v>2.0833333333333335</v>
      </c>
      <c r="H11" s="25"/>
      <c r="I11" s="12">
        <f>G11+$H$4-SUM(H7:H11)</f>
        <v>2.0833333333333335</v>
      </c>
      <c r="O11" s="2" t="s">
        <v>5</v>
      </c>
      <c r="P11" s="15">
        <f>IF(OR($C$6="februar 2021",$C$6="marts 2021",$C$6="april 2021",$C$6="maj 2021",$C$6="juni 2021",$C$6="juli 2021",$C$6="august 2021",$C$6="september 2021",$C$6="oktober 2021",$C$6="november 2021",$C$6="december 2021"),0,25/12)</f>
        <v>2.0833333333333335</v>
      </c>
      <c r="Q11" s="5">
        <f t="shared" si="1"/>
        <v>10.416666666666668</v>
      </c>
      <c r="R11" s="25"/>
      <c r="S11" s="12">
        <f>Q11+$R$4-SUM($R$7:R11)</f>
        <v>10.416666666666668</v>
      </c>
    </row>
    <row r="12" spans="2:19" ht="20.100000000000001" customHeight="1" x14ac:dyDescent="0.25">
      <c r="E12" s="2" t="s">
        <v>6</v>
      </c>
      <c r="F12" s="15">
        <f>IF(OR(C6="marts 2021",C6="april 2021",C6="maj 2021",C6="juni 2021",C6="juli 2021",C6="august 2021",C6="september 2021",C6="oktober 2021",C6="november 2021",C6="december 2021"),0,5/12)</f>
        <v>0.41666666666666669</v>
      </c>
      <c r="G12" s="5">
        <f t="shared" si="0"/>
        <v>2.5</v>
      </c>
      <c r="H12" s="25"/>
      <c r="I12" s="12">
        <f>G12+$H$4-SUM(H7:H12)</f>
        <v>2.5</v>
      </c>
      <c r="O12" s="2" t="s">
        <v>6</v>
      </c>
      <c r="P12" s="15">
        <f>IF(OR($C$6="marts 2021",$C$6="april 2021",$C$6="maj 2021",$C$6="juni 2021",$C$6="juli 2021",$C$6="august 2021",$C$6="september 2021",$C$6="oktober 2021",$C$6="november 2021",$C$6="december 2021"),0,25/12)</f>
        <v>2.0833333333333335</v>
      </c>
      <c r="Q12" s="5">
        <f t="shared" si="1"/>
        <v>12.500000000000002</v>
      </c>
      <c r="R12" s="25"/>
      <c r="S12" s="12">
        <f>Q12+$R$4-SUM($R$7:R12)</f>
        <v>12.500000000000002</v>
      </c>
    </row>
    <row r="13" spans="2:19" ht="20.100000000000001" customHeight="1" x14ac:dyDescent="0.25">
      <c r="E13" s="2" t="s">
        <v>7</v>
      </c>
      <c r="F13" s="15">
        <f>IF(OR(C6="april 2021",C6="maj 2021",C6="juni 2021",C6="juli 2021",C6="august 2021",C6="september 2021",C6="oktober 2021",C6="november 2021",C6="december 2021"),0,5/12)</f>
        <v>0.41666666666666669</v>
      </c>
      <c r="G13" s="5">
        <f t="shared" si="0"/>
        <v>2.9166666666666665</v>
      </c>
      <c r="H13" s="25"/>
      <c r="I13" s="12">
        <f>G13+$H$4-SUM(H7:H13)</f>
        <v>2.9166666666666665</v>
      </c>
      <c r="O13" s="2" t="s">
        <v>7</v>
      </c>
      <c r="P13" s="15">
        <f>IF(OR($C$6="april 2021",$C$6="maj 2021",$C$6="juni 2021",$C$6="juli 2021",$C$6="august 2021",$C$6="september 2021",$C$6="oktober 2021",$C$6="november 2021",$C$6="december 2021"),0,25/12)</f>
        <v>2.0833333333333335</v>
      </c>
      <c r="Q13" s="5">
        <f t="shared" si="1"/>
        <v>14.583333333333336</v>
      </c>
      <c r="R13" s="25"/>
      <c r="S13" s="12">
        <f>Q13+$R$4-SUM($R$7:R13)</f>
        <v>14.583333333333336</v>
      </c>
    </row>
    <row r="14" spans="2:19" ht="20.100000000000001" customHeight="1" x14ac:dyDescent="0.25">
      <c r="E14" s="2" t="s">
        <v>8</v>
      </c>
      <c r="F14" s="15">
        <f>IF(OR(C6="maj 2021",C6="juni 2021",C6="juli 2021",C6="august 2021",C6="september 2021",C6="oktober 2021",C6="november 2021",C6="december 2021"),0,5/12)</f>
        <v>0.41666666666666669</v>
      </c>
      <c r="G14" s="5">
        <f t="shared" si="0"/>
        <v>3.333333333333333</v>
      </c>
      <c r="H14" s="25"/>
      <c r="I14" s="12">
        <f>G14+$H$4-SUM(H7:H14)</f>
        <v>3.333333333333333</v>
      </c>
      <c r="O14" s="2" t="s">
        <v>8</v>
      </c>
      <c r="P14" s="15">
        <f>IF(OR($C$6="maj 2021",$C$6="juni 2021",$C$6="juli 2021",$C$6="august 2021",$C$6="september 2021",$C$6="oktober 2021",$C$6="november 2021",$C$6="december 2021"),0,25/12)</f>
        <v>2.0833333333333335</v>
      </c>
      <c r="Q14" s="5">
        <f t="shared" si="1"/>
        <v>16.666666666666668</v>
      </c>
      <c r="R14" s="25"/>
      <c r="S14" s="12">
        <f>Q14+$R$4-SUM($R$7:R14)</f>
        <v>16.666666666666668</v>
      </c>
    </row>
    <row r="15" spans="2:19" ht="20.100000000000001" customHeight="1" x14ac:dyDescent="0.25">
      <c r="C15" s="38"/>
      <c r="E15" s="2" t="s">
        <v>9</v>
      </c>
      <c r="F15" s="15">
        <f>IF(OR(C6="juni 2021",C6="juli 2021",C6="august 2021",C6="september 2021",C6="oktober 2021",C6="november 2021",C6="december 2021"),0,5/12)</f>
        <v>0.41666666666666669</v>
      </c>
      <c r="G15" s="5">
        <f t="shared" si="0"/>
        <v>3.7499999999999996</v>
      </c>
      <c r="H15" s="25"/>
      <c r="I15" s="12">
        <f>G15+$H$4-SUM(H7:H15)</f>
        <v>3.7499999999999996</v>
      </c>
      <c r="O15" s="2" t="s">
        <v>9</v>
      </c>
      <c r="P15" s="15">
        <f>IF(OR($C$6="juni 2021",$C$6="juli 2021",$C$6="august 2021",$C$6="september 2021",$C$6="oktober 2021",$C$6="november 2021",$C$6="december 2021"),0,25/12)</f>
        <v>2.0833333333333335</v>
      </c>
      <c r="Q15" s="5">
        <f t="shared" si="1"/>
        <v>18.75</v>
      </c>
      <c r="R15" s="25"/>
      <c r="S15" s="12">
        <f>Q15+$R$4-SUM($R$7:R15)</f>
        <v>18.75</v>
      </c>
    </row>
    <row r="16" spans="2:19" ht="20.100000000000001" customHeight="1" x14ac:dyDescent="0.25">
      <c r="E16" s="2" t="s">
        <v>10</v>
      </c>
      <c r="F16" s="15">
        <f>IF(OR(C6="juli 2021",C6="august 2021",C6="september 2021",C6="oktober 2021",C6="november 2021",C6="december 2021"),0,5/12)</f>
        <v>0.41666666666666669</v>
      </c>
      <c r="G16" s="5">
        <f t="shared" si="0"/>
        <v>4.1666666666666661</v>
      </c>
      <c r="H16" s="25"/>
      <c r="I16" s="12">
        <f>G16+$H$4-SUM(H7:H16)</f>
        <v>4.1666666666666661</v>
      </c>
      <c r="O16" s="2" t="s">
        <v>10</v>
      </c>
      <c r="P16" s="15">
        <f>IF(OR($C$6="juli 2021",$C$6="august 2021",$C$6="september 2021",$C$6="oktober 2021",$C$6="november 2021",$C$6="december 2021"),0,25/12)</f>
        <v>2.0833333333333335</v>
      </c>
      <c r="Q16" s="5">
        <f t="shared" si="1"/>
        <v>20.833333333333332</v>
      </c>
      <c r="R16" s="25"/>
      <c r="S16" s="12">
        <f>Q16+$R$4-SUM($R$7:R16)</f>
        <v>20.833333333333332</v>
      </c>
    </row>
    <row r="17" spans="3:23" ht="20.100000000000001" customHeight="1" x14ac:dyDescent="0.25">
      <c r="E17" s="2" t="s">
        <v>11</v>
      </c>
      <c r="F17" s="15">
        <f>IF(OR(C6="august 2021",C6="september 2021",C6="oktober 2021",C6="november 2021",C6="december 2021"),0,5/12)</f>
        <v>0.41666666666666669</v>
      </c>
      <c r="G17" s="5">
        <f t="shared" si="0"/>
        <v>4.583333333333333</v>
      </c>
      <c r="H17" s="25"/>
      <c r="I17" s="12">
        <f>G17+$H$4-SUM(H7:H17)</f>
        <v>4.583333333333333</v>
      </c>
      <c r="O17" s="2" t="s">
        <v>11</v>
      </c>
      <c r="P17" s="15">
        <f>IF(OR($C$6="august 2021",$C$6="september 2021",$C$6="oktober 2021",$C$6="november 2021",$C$6="december 2021"),0,25/12)</f>
        <v>2.0833333333333335</v>
      </c>
      <c r="Q17" s="5">
        <f t="shared" si="1"/>
        <v>22.916666666666664</v>
      </c>
      <c r="R17" s="25"/>
      <c r="S17" s="12">
        <f>Q17+$R$4-SUM($R$7:R17)</f>
        <v>22.916666666666664</v>
      </c>
    </row>
    <row r="18" spans="3:23" ht="20.100000000000001" customHeight="1" x14ac:dyDescent="0.25">
      <c r="E18" s="2" t="s">
        <v>12</v>
      </c>
      <c r="F18" s="15">
        <f>IF(OR(C6="september 2021",C6="oktober 2021",C6="november 2021",C6="december 2021"),0,5/12)</f>
        <v>0.41666666666666669</v>
      </c>
      <c r="G18" s="5">
        <f t="shared" si="0"/>
        <v>5</v>
      </c>
      <c r="H18" s="25"/>
      <c r="I18" s="12">
        <f>G18+$H$4-SUM(H7:H18)</f>
        <v>5</v>
      </c>
      <c r="O18" s="2" t="s">
        <v>12</v>
      </c>
      <c r="P18" s="15">
        <f>IF(OR($C$6="september 2021",$C$6="oktober 2021",$C$6="november 2021",$C$6="december 2021"),0,25/12)</f>
        <v>2.0833333333333335</v>
      </c>
      <c r="Q18" s="5">
        <f t="shared" si="1"/>
        <v>24.999999999999996</v>
      </c>
      <c r="R18" s="25" t="s">
        <v>41</v>
      </c>
      <c r="S18" s="12">
        <f>Q18+$R$4-SUM($R$7:R18)</f>
        <v>24.999999999999996</v>
      </c>
    </row>
    <row r="19" spans="3:23" ht="20.100000000000001" customHeight="1" x14ac:dyDescent="0.25">
      <c r="E19" s="2" t="s">
        <v>13</v>
      </c>
      <c r="F19" s="15">
        <v>0</v>
      </c>
      <c r="G19" s="5">
        <f t="shared" si="0"/>
        <v>5</v>
      </c>
      <c r="H19" s="25"/>
      <c r="I19" s="12">
        <f>G19+$H$4-SUM(H6:H19)</f>
        <v>5</v>
      </c>
      <c r="K19" s="14"/>
      <c r="L19" s="14"/>
      <c r="M19" s="14"/>
      <c r="O19" s="2" t="s">
        <v>13</v>
      </c>
      <c r="P19" s="15">
        <v>0</v>
      </c>
      <c r="Q19" s="5">
        <f t="shared" si="1"/>
        <v>24.999999999999996</v>
      </c>
      <c r="R19" s="25"/>
      <c r="S19" s="12">
        <f>Q19+$R$4-SUM($R$7:R19)</f>
        <v>24.999999999999996</v>
      </c>
    </row>
    <row r="20" spans="3:23" ht="20.100000000000001" customHeight="1" x14ac:dyDescent="0.25">
      <c r="C20" s="37"/>
      <c r="E20" s="2" t="s">
        <v>14</v>
      </c>
      <c r="F20" s="15">
        <v>0</v>
      </c>
      <c r="G20" s="5">
        <f t="shared" si="0"/>
        <v>5</v>
      </c>
      <c r="H20" s="25"/>
      <c r="I20" s="12">
        <f>G20+$H$4-SUM(H7:H20)</f>
        <v>5</v>
      </c>
      <c r="K20" s="66" t="str">
        <f>IF($I$22&gt;0,"OBS: Er der uafholdte feriefridage pr. 31. december 2021, kan de aftales overført til afholdelse inden 31. december 2022 og ellers skal de udbetales sammen med lønnen i januar 2022."," ")</f>
        <v>OBS: Er der uafholdte feriefridage pr. 31. december 2021, kan de aftales overført til afholdelse inden 31. december 2022 og ellers skal de udbetales sammen med lønnen i januar 2022.</v>
      </c>
      <c r="L20" s="66"/>
      <c r="M20" s="66"/>
      <c r="O20" s="2" t="s">
        <v>14</v>
      </c>
      <c r="P20" s="15">
        <v>0</v>
      </c>
      <c r="Q20" s="5">
        <f t="shared" si="1"/>
        <v>24.999999999999996</v>
      </c>
      <c r="R20" s="25"/>
      <c r="S20" s="12">
        <f>Q20+$R$4-SUM($R$7:R20)</f>
        <v>24.999999999999996</v>
      </c>
      <c r="U20" s="66" t="str">
        <f>IF($S$22&gt;0,"OBS: Er der uafholdte feriedage pr. 31. december 2021, kan dage udover 20 feriedage aftales overført eller udbetalt."," ")</f>
        <v>OBS: Er der uafholdte feriedage pr. 31. december 2021, kan dage udover 20 feriedage aftales overført eller udbetalt.</v>
      </c>
      <c r="V20" s="66"/>
      <c r="W20" s="66"/>
    </row>
    <row r="21" spans="3:23" ht="20.100000000000001" customHeight="1" x14ac:dyDescent="0.25">
      <c r="E21" s="2" t="s">
        <v>15</v>
      </c>
      <c r="F21" s="15">
        <v>0</v>
      </c>
      <c r="G21" s="5">
        <f t="shared" si="0"/>
        <v>5</v>
      </c>
      <c r="H21" s="25"/>
      <c r="I21" s="12">
        <f>G21+$H$4-SUM(H7:H21)</f>
        <v>5</v>
      </c>
      <c r="K21" s="66"/>
      <c r="L21" s="66"/>
      <c r="M21" s="66"/>
      <c r="O21" s="2" t="s">
        <v>15</v>
      </c>
      <c r="P21" s="15">
        <v>0</v>
      </c>
      <c r="Q21" s="5">
        <f t="shared" si="1"/>
        <v>24.999999999999996</v>
      </c>
      <c r="R21" s="25"/>
      <c r="S21" s="12">
        <f>Q21+$R$4-SUM($R$7:R21)</f>
        <v>24.999999999999996</v>
      </c>
      <c r="U21" s="66"/>
      <c r="V21" s="66"/>
      <c r="W21" s="66"/>
    </row>
    <row r="22" spans="3:23" ht="20.100000000000001" customHeight="1" x14ac:dyDescent="0.25">
      <c r="E22" s="3" t="s">
        <v>16</v>
      </c>
      <c r="F22" s="16">
        <v>0</v>
      </c>
      <c r="G22" s="6">
        <f t="shared" si="0"/>
        <v>5</v>
      </c>
      <c r="H22" s="28"/>
      <c r="I22" s="13">
        <f>G22+$H$4-SUM(H7:H22)-H24-H25</f>
        <v>5</v>
      </c>
      <c r="K22" s="66"/>
      <c r="L22" s="66"/>
      <c r="M22" s="66"/>
      <c r="O22" s="3" t="s">
        <v>16</v>
      </c>
      <c r="P22" s="16">
        <v>0</v>
      </c>
      <c r="Q22" s="6">
        <f t="shared" si="1"/>
        <v>24.999999999999996</v>
      </c>
      <c r="R22" s="28"/>
      <c r="S22" s="42">
        <f>Q22+$R$4-SUM($R$7:R22)-R24-R25</f>
        <v>24.999999999999996</v>
      </c>
      <c r="U22" s="66"/>
      <c r="V22" s="66"/>
      <c r="W22" s="66"/>
    </row>
    <row r="23" spans="3:23" ht="8.25" customHeight="1" x14ac:dyDescent="0.25">
      <c r="E23" s="8"/>
      <c r="F23" s="8"/>
      <c r="G23" s="9"/>
      <c r="H23" s="11"/>
      <c r="I23" s="10"/>
      <c r="O23" s="8"/>
      <c r="P23" s="8"/>
      <c r="Q23" s="9"/>
      <c r="R23" s="11"/>
      <c r="S23" s="10"/>
    </row>
    <row r="24" spans="3:23" x14ac:dyDescent="0.25">
      <c r="G24" s="32" t="s">
        <v>35</v>
      </c>
      <c r="H24" s="24"/>
      <c r="O24" s="1"/>
      <c r="P24" s="1"/>
      <c r="Q24" s="32" t="s">
        <v>35</v>
      </c>
      <c r="R24" s="24"/>
    </row>
    <row r="25" spans="3:23" x14ac:dyDescent="0.25">
      <c r="G25" s="32" t="s">
        <v>36</v>
      </c>
      <c r="H25" s="28"/>
      <c r="I25" s="20">
        <f>SUM(I19:I22)</f>
        <v>20</v>
      </c>
      <c r="O25" s="1"/>
      <c r="P25" s="1"/>
      <c r="Q25" s="32" t="s">
        <v>36</v>
      </c>
      <c r="R25" s="28"/>
      <c r="S25" s="20">
        <f>SUM(S19:S22)</f>
        <v>99.999999999999986</v>
      </c>
    </row>
    <row r="26" spans="3:23" x14ac:dyDescent="0.25">
      <c r="O26" s="1"/>
      <c r="P26" s="1"/>
    </row>
    <row r="27" spans="3:23" ht="45" x14ac:dyDescent="0.25">
      <c r="G27" s="60" t="s">
        <v>52</v>
      </c>
      <c r="Q27" s="60" t="s">
        <v>55</v>
      </c>
    </row>
    <row r="28" spans="3:23" x14ac:dyDescent="0.25">
      <c r="G28" s="60"/>
    </row>
  </sheetData>
  <protectedRanges>
    <protectedRange sqref="H7:H25 R7:R25" name="Område1"/>
    <protectedRange sqref="H4 R4" name="Område2_2"/>
    <protectedRange sqref="C6" name="Område1_2_1"/>
  </protectedRanges>
  <mergeCells count="7">
    <mergeCell ref="B7:B11"/>
    <mergeCell ref="O2:S2"/>
    <mergeCell ref="O4:Q4"/>
    <mergeCell ref="U20:W22"/>
    <mergeCell ref="E2:I2"/>
    <mergeCell ref="E4:G4"/>
    <mergeCell ref="K20:M22"/>
  </mergeCells>
  <conditionalFormatting sqref="I8:I23">
    <cfRule type="cellIs" dxfId="21" priority="10" operator="greaterThanOrEqual">
      <formula>0</formula>
    </cfRule>
    <cfRule type="cellIs" dxfId="20" priority="11" operator="lessThan">
      <formula>0</formula>
    </cfRule>
  </conditionalFormatting>
  <conditionalFormatting sqref="I7">
    <cfRule type="cellIs" dxfId="19" priority="7" operator="greaterThanOrEqual">
      <formula>0</formula>
    </cfRule>
    <cfRule type="cellIs" dxfId="18" priority="8" operator="lessThan">
      <formula>0</formula>
    </cfRule>
  </conditionalFormatting>
  <conditionalFormatting sqref="S8:S23">
    <cfRule type="cellIs" dxfId="17" priority="3" operator="greaterThanOrEqual">
      <formula>0</formula>
    </cfRule>
    <cfRule type="cellIs" dxfId="16" priority="4" operator="lessThan">
      <formula>0</formula>
    </cfRule>
  </conditionalFormatting>
  <conditionalFormatting sqref="S7">
    <cfRule type="cellIs" dxfId="15" priority="1" operator="greaterThanOrEqual">
      <formula>0</formula>
    </cfRule>
    <cfRule type="cellIs" dxfId="14" priority="2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I8 I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7EDD-22F7-41DA-A8EF-69A5CA60D9E1}">
  <dimension ref="B1:W28"/>
  <sheetViews>
    <sheetView topLeftCell="D11" zoomScale="70" zoomScaleNormal="70" zoomScaleSheetLayoutView="100" workbookViewId="0">
      <selection activeCell="Q27" sqref="Q27"/>
    </sheetView>
  </sheetViews>
  <sheetFormatPr defaultRowHeight="15" x14ac:dyDescent="0.25"/>
  <cols>
    <col min="2" max="2" width="33" bestFit="1" customWidth="1"/>
    <col min="3" max="3" width="26.5703125" customWidth="1"/>
    <col min="4" max="4" width="5.42578125" customWidth="1"/>
    <col min="5" max="5" width="15.42578125" style="1" bestFit="1" customWidth="1"/>
    <col min="6" max="6" width="15.42578125" style="1" customWidth="1"/>
    <col min="7" max="7" width="23.5703125" customWidth="1"/>
    <col min="8" max="8" width="18.5703125" customWidth="1"/>
    <col min="9" max="9" width="13.85546875" customWidth="1"/>
    <col min="10" max="10" width="2.42578125" customWidth="1"/>
    <col min="13" max="13" width="30.7109375" customWidth="1"/>
    <col min="14" max="14" width="21.42578125" customWidth="1"/>
    <col min="15" max="16" width="15.42578125" customWidth="1"/>
    <col min="17" max="17" width="23.5703125" customWidth="1"/>
    <col min="18" max="18" width="18.5703125" customWidth="1"/>
    <col min="19" max="19" width="13.85546875" customWidth="1"/>
    <col min="20" max="20" width="2.42578125" customWidth="1"/>
    <col min="23" max="23" width="30.85546875" customWidth="1"/>
  </cols>
  <sheetData>
    <row r="1" spans="2:23" x14ac:dyDescent="0.25">
      <c r="E1"/>
      <c r="F1"/>
    </row>
    <row r="2" spans="2:23" ht="17.25" x14ac:dyDescent="0.3">
      <c r="E2" s="63" t="s">
        <v>33</v>
      </c>
      <c r="F2" s="63"/>
      <c r="G2" s="63"/>
      <c r="H2" s="63"/>
      <c r="I2" s="63"/>
      <c r="O2" s="63" t="s">
        <v>47</v>
      </c>
      <c r="P2" s="63"/>
      <c r="Q2" s="63"/>
      <c r="R2" s="63"/>
      <c r="S2" s="63"/>
    </row>
    <row r="3" spans="2:23" ht="17.25" x14ac:dyDescent="0.3">
      <c r="E3"/>
      <c r="F3"/>
      <c r="O3" s="36"/>
      <c r="P3" s="36"/>
      <c r="Q3" s="36"/>
      <c r="R3" s="36"/>
      <c r="S3" s="36"/>
    </row>
    <row r="4" spans="2:23" ht="30.75" customHeight="1" x14ac:dyDescent="0.25">
      <c r="E4" s="64" t="s">
        <v>34</v>
      </c>
      <c r="F4" s="65"/>
      <c r="G4" s="65"/>
      <c r="H4" s="35">
        <f>'2020-2021'!H24</f>
        <v>0</v>
      </c>
      <c r="I4" s="7"/>
      <c r="K4" s="17"/>
      <c r="L4" s="17"/>
      <c r="M4" s="17"/>
      <c r="O4" s="64" t="s">
        <v>48</v>
      </c>
      <c r="P4" s="65"/>
      <c r="Q4" s="67"/>
      <c r="R4" s="55">
        <f>'2020-2021'!R24</f>
        <v>0</v>
      </c>
    </row>
    <row r="5" spans="2:23" x14ac:dyDescent="0.25">
      <c r="E5"/>
      <c r="F5"/>
      <c r="K5" s="17"/>
      <c r="L5" s="17"/>
      <c r="M5" s="17"/>
      <c r="R5" s="54"/>
    </row>
    <row r="6" spans="2:23" ht="47.25" x14ac:dyDescent="0.25">
      <c r="B6" s="39" t="s">
        <v>39</v>
      </c>
      <c r="C6" s="56" t="s">
        <v>51</v>
      </c>
      <c r="E6" s="21" t="s">
        <v>0</v>
      </c>
      <c r="F6" s="22" t="s">
        <v>53</v>
      </c>
      <c r="G6" s="23" t="s">
        <v>49</v>
      </c>
      <c r="H6" s="23" t="s">
        <v>30</v>
      </c>
      <c r="I6" s="27" t="s">
        <v>31</v>
      </c>
      <c r="K6" s="17"/>
      <c r="L6" s="17"/>
      <c r="M6" s="17"/>
      <c r="O6" s="21" t="s">
        <v>0</v>
      </c>
      <c r="P6" s="22" t="s">
        <v>53</v>
      </c>
      <c r="Q6" s="23" t="s">
        <v>54</v>
      </c>
      <c r="R6" s="59" t="s">
        <v>45</v>
      </c>
      <c r="S6" s="27" t="s">
        <v>46</v>
      </c>
    </row>
    <row r="7" spans="2:23" ht="20.100000000000001" customHeight="1" x14ac:dyDescent="0.25">
      <c r="B7" s="61" t="s">
        <v>38</v>
      </c>
      <c r="E7" s="2" t="s">
        <v>13</v>
      </c>
      <c r="F7" s="15">
        <f>IF(OR($C$6="oktober 2021",$C$6="november 2021",$C$6="december 2021",$C$6="januar 2022",$C$6="februar 2022",$C$6="marts 2022",$C$6="april 2022",$C$6="maj 2022",$C$6="juni 2022",$C$6="juli 2022",$C$6="august 2022",$C$6="september 2022",$C$6="oktober 2022",$C$6="november 2022",$C$6="december 2022"),0,5/12)</f>
        <v>0.41666666666666669</v>
      </c>
      <c r="G7" s="4">
        <f>F7</f>
        <v>0.41666666666666669</v>
      </c>
      <c r="H7" s="30" t="str">
        <f>IF('2020-2021'!$I$22&gt;0,"Kan ikke holdes endnu"," ")</f>
        <v>Kan ikke holdes endnu</v>
      </c>
      <c r="I7" s="33">
        <f>F7+H4</f>
        <v>0.41666666666666669</v>
      </c>
      <c r="K7" s="66" t="str">
        <f>IF('2020-2021'!$I$22&gt;0,"Der er uafholdte feriefridage i perioden 1. september 2020 - 31. december 2021. Disse dage skal afholdes, overføres eller udbetales inden afholdelse af feriefridagene i denne periode."," ")</f>
        <v>Der er uafholdte feriefridage i perioden 1. september 2020 - 31. december 2021. Disse dage skal afholdes, overføres eller udbetales inden afholdelse af feriefridagene i denne periode.</v>
      </c>
      <c r="L7" s="66"/>
      <c r="M7" s="66"/>
      <c r="O7" s="2" t="s">
        <v>13</v>
      </c>
      <c r="P7" s="15">
        <f>IF(OR($C$6="oktober 2021",$C$6="november 2021",$C$6="december 2021",$C$6="januar 2022",$C$6="februar 2022",$C$6="marts 2022",$C$6="april 2022",$C$6="maj 2022",$C$6="juni 2022",$C$6="juli 2022",$C$6="august 2022",$C$6="september 2022",$C$6="oktober 2022",$C$6="november 2022",$C$6="december 2022"),0,25/12)</f>
        <v>2.0833333333333335</v>
      </c>
      <c r="Q7" s="58">
        <f>P7</f>
        <v>2.0833333333333335</v>
      </c>
      <c r="R7" s="30" t="str">
        <f>IF('2020-2021'!$S$22&gt;0,"Kan ikke holdes endnu"," ")</f>
        <v>Kan ikke holdes endnu</v>
      </c>
      <c r="S7" s="12">
        <f>P7+R4</f>
        <v>2.0833333333333335</v>
      </c>
      <c r="U7" s="66" t="str">
        <f>IF('2020-2021'!$S$22&gt;0,"Der er uafholdte feriedage i perioden 1. september 2020 - 31. december 2021. Disse dage skal afholdes, overføres eller udbetales inden afholdelse af feriedagene i denne periode."," ")</f>
        <v>Der er uafholdte feriedage i perioden 1. september 2020 - 31. december 2021. Disse dage skal afholdes, overføres eller udbetales inden afholdelse af feriedagene i denne periode.</v>
      </c>
      <c r="V7" s="66"/>
      <c r="W7" s="66"/>
    </row>
    <row r="8" spans="2:23" ht="20.100000000000001" customHeight="1" x14ac:dyDescent="0.25">
      <c r="B8" s="62"/>
      <c r="E8" s="2" t="s">
        <v>14</v>
      </c>
      <c r="F8" s="15">
        <f>IF(OR($C$6="november 2021",$C$6="december 2021",$C$6="januar 2022",$C$6="februar 2022",$C$6="marts 2022",$C$6="april 2022",$C$6="maj 2022",$C$6="juni 2022",$C$6="juli 2022",$C$6="august 2022",$C$6="september 2022",$C$6="oktober 2022",$C$6="november 2022",$C$6="december 2022"),0,5/12)</f>
        <v>0.41666666666666669</v>
      </c>
      <c r="G8" s="5">
        <f>G7+F8</f>
        <v>0.83333333333333337</v>
      </c>
      <c r="H8" s="31" t="str">
        <f>IF('2020-2021'!$I$22&gt;0,"Kan ikke holdes endnu"," ")</f>
        <v>Kan ikke holdes endnu</v>
      </c>
      <c r="I8" s="33">
        <f>G8+$H$4-SUM(H7:H8)</f>
        <v>0.83333333333333337</v>
      </c>
      <c r="K8" s="66"/>
      <c r="L8" s="66"/>
      <c r="M8" s="66"/>
      <c r="O8" s="2" t="s">
        <v>14</v>
      </c>
      <c r="P8" s="15">
        <f>IF(OR($C$6="november 2021",$C$6="december 2021",$C$6="januar 2022",$C$6="februar 2022",$C$6="marts 2022",$C$6="april 2022",$C$6="maj 2022",$C$6="juni 2022",$C$6="juli 2022",$C$6="august 2022",$C$6="september 2022",$C$6="oktober 2022",$C$6="november 2022",$C$6="december 2022"),0,25/12)</f>
        <v>2.0833333333333335</v>
      </c>
      <c r="Q8" s="15">
        <f>Q7+P8</f>
        <v>4.166666666666667</v>
      </c>
      <c r="R8" s="31" t="str">
        <f>IF('2020-2021'!$S$22&gt;0,"Kan ikke holdes endnu"," ")</f>
        <v>Kan ikke holdes endnu</v>
      </c>
      <c r="S8" s="12">
        <f>Q8+$R$4-SUM($R$7:R8)</f>
        <v>4.166666666666667</v>
      </c>
      <c r="U8" s="66"/>
      <c r="V8" s="66"/>
      <c r="W8" s="66"/>
    </row>
    <row r="9" spans="2:23" ht="20.100000000000001" customHeight="1" x14ac:dyDescent="0.25">
      <c r="B9" s="62"/>
      <c r="E9" s="2" t="s">
        <v>15</v>
      </c>
      <c r="F9" s="15">
        <f>IF(OR($C$6="december 2021",$C$6="januar 2022",$C$6="februar 2022",$C$6="marts 2022",$C$6="april 2022",$C$6="maj 2022",$C$6="juni 2022",$C$6="juli 2022",$C$6="august 2022",$C$6="september 2022",$C$6="oktober 2022",$C$6="november 2022",$C$6="december 2022"),0,5/12)</f>
        <v>0.41666666666666669</v>
      </c>
      <c r="G9" s="5">
        <f>G8+F9</f>
        <v>1.25</v>
      </c>
      <c r="H9" s="31" t="str">
        <f>IF('2020-2021'!$I$22&gt;0,"Kan ikke holdes endnu"," ")</f>
        <v>Kan ikke holdes endnu</v>
      </c>
      <c r="I9" s="33">
        <f>G9+$H$4-SUM(H7:H9)</f>
        <v>1.25</v>
      </c>
      <c r="K9" s="66"/>
      <c r="L9" s="66"/>
      <c r="M9" s="66"/>
      <c r="O9" s="2" t="s">
        <v>15</v>
      </c>
      <c r="P9" s="15">
        <f>IF(OR($C$6="december 2021",$C$6="januar 2022",$C$6="februar 2022",$C$6="marts 2022",$C$6="april 2022",$C$6="maj 2022",$C$6="juni 2022",$C$6="juli 2022",$C$6="august 2022",$C$6="september 2022",$C$6="oktober 2022",$C$6="november 2022",$C$6="december 2022"),0,25/12)</f>
        <v>2.0833333333333335</v>
      </c>
      <c r="Q9" s="15">
        <f t="shared" ref="Q9:Q22" si="0">Q8+P9</f>
        <v>6.25</v>
      </c>
      <c r="R9" s="31" t="str">
        <f>IF('2020-2021'!$S$22&gt;0,"Kan ikke holdes endnu"," ")</f>
        <v>Kan ikke holdes endnu</v>
      </c>
      <c r="S9" s="12">
        <f>Q9+$R$4-SUM($R$7:R9)</f>
        <v>6.25</v>
      </c>
      <c r="U9" s="66"/>
      <c r="V9" s="66"/>
      <c r="W9" s="66"/>
    </row>
    <row r="10" spans="2:23" ht="20.100000000000001" customHeight="1" x14ac:dyDescent="0.25">
      <c r="B10" s="62"/>
      <c r="E10" s="19" t="s">
        <v>16</v>
      </c>
      <c r="F10" s="15">
        <f>IF(OR($C$6="januar 2022",$C$6="februar 2022",$C$6="marts 2022",$C$6="april 2022",$C$6="maj 2022",$C$6="juni 2022",$C$6="juli 2022",$C$6="august 2022",$C$6="september 2022",$C$6="oktober 2022",$C$6="november 2022",$C$6="december 2022"),0,5/12)</f>
        <v>0.41666666666666669</v>
      </c>
      <c r="G10" s="5">
        <f t="shared" ref="G10:G11" si="1">G9+F10</f>
        <v>1.6666666666666667</v>
      </c>
      <c r="H10" s="31" t="str">
        <f>IF('2020-2021'!$I$22&gt;0,"Kan ikke holdes endnu"," ")</f>
        <v>Kan ikke holdes endnu</v>
      </c>
      <c r="I10" s="33">
        <f>G10+$H$4-SUM(H7:H10)</f>
        <v>1.6666666666666667</v>
      </c>
      <c r="O10" s="2" t="s">
        <v>16</v>
      </c>
      <c r="P10" s="15">
        <f>IF(OR($C$6="januar 2022",$C$6="februar 2022",$C$6="marts 2022",$C$6="april 2022",$C$6="maj 2022",$C$6="juni 2022",$C$6="juli 2022",$C$6="august 2022",$C$6="september 2022",$C$6="oktober 2022",$C$6="november 2022",$C$6="december 2022"),0,25/12)</f>
        <v>2.0833333333333335</v>
      </c>
      <c r="Q10" s="15">
        <f t="shared" si="0"/>
        <v>8.3333333333333339</v>
      </c>
      <c r="R10" s="31" t="str">
        <f>IF('2020-2021'!$S$22&gt;0,"Kan ikke holdes endnu"," ")</f>
        <v>Kan ikke holdes endnu</v>
      </c>
      <c r="S10" s="12">
        <f>Q10+$R$4-SUM($R$7:R10)</f>
        <v>8.3333333333333339</v>
      </c>
    </row>
    <row r="11" spans="2:23" ht="20.100000000000001" customHeight="1" x14ac:dyDescent="0.25">
      <c r="B11" s="62"/>
      <c r="E11" s="19" t="s">
        <v>17</v>
      </c>
      <c r="F11" s="15">
        <f>IF(OR($C$6="februar 2022",$C$6="marts 2022",$C$6="april 2022",$C$6="maj 2022",$C$6="juni 2022",$C$6="juli 2022",$C$6="august 2022",$C$6="september 2022",$C$6="oktober 2022",$C$6="november 2022",$C$6="december 2022"),0,5/12)</f>
        <v>0.41666666666666669</v>
      </c>
      <c r="G11" s="5">
        <f t="shared" si="1"/>
        <v>2.0833333333333335</v>
      </c>
      <c r="H11" s="25"/>
      <c r="I11" s="33">
        <f>G11+$H$4-SUM(H7:H11)</f>
        <v>2.0833333333333335</v>
      </c>
      <c r="O11" s="2" t="s">
        <v>17</v>
      </c>
      <c r="P11" s="15">
        <f>IF(OR($C$6="februar 2022",$C$6="marts 2022",$C$6="april 2022",$C$6="maj 2022",$C$6="juni 2022",$C$6="juli 2022",$C$6="august 2022",$C$6="september 2022",$C$6="oktober 2022",$C$6="november 2022",$C$6="december 2022"),0,25/12)</f>
        <v>2.0833333333333335</v>
      </c>
      <c r="Q11" s="5">
        <f t="shared" si="0"/>
        <v>10.416666666666668</v>
      </c>
      <c r="R11" s="25"/>
      <c r="S11" s="12">
        <f>Q11+$R$4-SUM($R$7:R11)</f>
        <v>10.416666666666668</v>
      </c>
    </row>
    <row r="12" spans="2:23" ht="20.100000000000001" customHeight="1" x14ac:dyDescent="0.25">
      <c r="E12" s="19" t="s">
        <v>18</v>
      </c>
      <c r="F12" s="15">
        <f>IF(OR($C$6="marts 2022",$C$6="april 2022",$C$6="maj 2022",$C$6="juni 2022",$C$6="juli 2022",$C$6="august 2022",$C$6="september 2022",$C$6="oktober 2022",$C$6="november 2022",$C$6="december 2022"),0,5/12)</f>
        <v>0.41666666666666669</v>
      </c>
      <c r="G12" s="5">
        <f>G11+F12</f>
        <v>2.5</v>
      </c>
      <c r="H12" s="25"/>
      <c r="I12" s="33">
        <f>G12+$H$4-SUM(H7:H12)</f>
        <v>2.5</v>
      </c>
      <c r="O12" s="2" t="s">
        <v>18</v>
      </c>
      <c r="P12" s="15">
        <f>IF(OR($C$6="marts 2022",$C$6="april 2022",$C$6="maj 2022",$C$6="juni 2022",$C$6="juli 2022",$C$6="august 2022",$C$6="september 2022",$C$6="oktober 2022",$C$6="november 2022",$C$6="december 2022"),0,25/12)</f>
        <v>2.0833333333333335</v>
      </c>
      <c r="Q12" s="5">
        <f t="shared" si="0"/>
        <v>12.500000000000002</v>
      </c>
      <c r="R12" s="25"/>
      <c r="S12" s="12">
        <f>Q12+$R$4-SUM($R$7:R12)</f>
        <v>12.500000000000002</v>
      </c>
    </row>
    <row r="13" spans="2:23" ht="20.100000000000001" customHeight="1" x14ac:dyDescent="0.25">
      <c r="E13" s="2" t="s">
        <v>19</v>
      </c>
      <c r="F13" s="15">
        <f>IF(OR($C$6="april 2022",$C$6="maj 2022",$C$6="juni 2022",$C$6="juli 2022",$C$6="august 2022",$C$6="september 2022",$C$6="oktober 2022",$C$6="november 2022",$C$6="december 2022"),0,5/12)</f>
        <v>0.41666666666666669</v>
      </c>
      <c r="G13" s="5">
        <f t="shared" ref="G13:G22" si="2">G12+F13</f>
        <v>2.9166666666666665</v>
      </c>
      <c r="H13" s="25"/>
      <c r="I13" s="33">
        <f>G13+$H$4-SUM(H7:H13)</f>
        <v>2.9166666666666665</v>
      </c>
      <c r="O13" s="2" t="s">
        <v>19</v>
      </c>
      <c r="P13" s="15">
        <f>IF(OR($C$6="april 2022",$C$6="maj 2022",$C$6="juni 2022",$C$6="juli 2022",$C$6="august 2022",$C$6="september 2022",$C$6="oktober 2022",$C$6="november 2022",$C$6="december 2022"),0,25/12)</f>
        <v>2.0833333333333335</v>
      </c>
      <c r="Q13" s="5">
        <f t="shared" si="0"/>
        <v>14.583333333333336</v>
      </c>
      <c r="R13" s="25"/>
      <c r="S13" s="12">
        <f>Q13+$R$4-SUM($R$7:R13)</f>
        <v>14.583333333333336</v>
      </c>
    </row>
    <row r="14" spans="2:23" ht="20.100000000000001" customHeight="1" x14ac:dyDescent="0.25">
      <c r="E14" s="2" t="s">
        <v>20</v>
      </c>
      <c r="F14" s="15">
        <f>IF(OR($C$6="maj 2022",$C$6="juni 2022",$C$6="juli 2022",$C$6="august 2022",$C$6="september 2022",$C$6="oktober 2022",$C$6="november 2022",$C$6="december 2022"),0,5/12)</f>
        <v>0.41666666666666669</v>
      </c>
      <c r="G14" s="5">
        <f t="shared" si="2"/>
        <v>3.333333333333333</v>
      </c>
      <c r="H14" s="25"/>
      <c r="I14" s="33">
        <f>G14+$H$4-SUM(H7:H14)</f>
        <v>3.333333333333333</v>
      </c>
      <c r="K14" s="17"/>
      <c r="O14" s="2" t="s">
        <v>20</v>
      </c>
      <c r="P14" s="15">
        <f>IF(OR($C$6="maj 2022",$C$6="juni 2022",$C$6="juli 2022",$C$6="august 2022",$C$6="september 2022",$C$6="oktober 2022",$C$6="november 2022",$C$6="december 2022"),0,25/12)</f>
        <v>2.0833333333333335</v>
      </c>
      <c r="Q14" s="5">
        <f t="shared" si="0"/>
        <v>16.666666666666668</v>
      </c>
      <c r="R14" s="25"/>
      <c r="S14" s="12">
        <f>Q14+$R$4-SUM($R$7:R14)</f>
        <v>16.666666666666668</v>
      </c>
    </row>
    <row r="15" spans="2:23" ht="20.100000000000001" customHeight="1" x14ac:dyDescent="0.25">
      <c r="E15" s="2" t="s">
        <v>21</v>
      </c>
      <c r="F15" s="15">
        <f>IF(OR($C$6="juni 2022",$C$6="juli 2022",$C$6="august 2022",$C$6="september 2022",$C$6="oktober 2022",$C$6="november 2022",$C$6="december 2022"),0,5/12)</f>
        <v>0.41666666666666669</v>
      </c>
      <c r="G15" s="5">
        <f t="shared" si="2"/>
        <v>3.7499999999999996</v>
      </c>
      <c r="H15" s="25"/>
      <c r="I15" s="33">
        <f>G15+$H$4-SUM(H7:H15)</f>
        <v>3.7499999999999996</v>
      </c>
      <c r="K15" s="17"/>
      <c r="O15" s="2" t="s">
        <v>21</v>
      </c>
      <c r="P15" s="15">
        <f>IF(OR($C$6="juni 2022",$C$6="juli 2022",$C$6="august 2022",$C$6="september 2022",$C$6="oktober 2022",$C$6="november 2022",$C$6="december 2022"),0,25/12)</f>
        <v>2.0833333333333335</v>
      </c>
      <c r="Q15" s="5">
        <f t="shared" si="0"/>
        <v>18.75</v>
      </c>
      <c r="R15" s="25"/>
      <c r="S15" s="12">
        <f>Q15+$R$4-SUM($R$7:R15)</f>
        <v>18.75</v>
      </c>
    </row>
    <row r="16" spans="2:23" ht="20.100000000000001" customHeight="1" x14ac:dyDescent="0.25">
      <c r="E16" s="2" t="s">
        <v>22</v>
      </c>
      <c r="F16" s="15">
        <f>IF(OR($C$6="juli 2022",$C$6="august 2022",$C$6="september 2022",$C$6="oktober 2022",$C$6="november 2022",$C$6="december 2022"),0,5/12)</f>
        <v>0.41666666666666669</v>
      </c>
      <c r="G16" s="5">
        <f t="shared" si="2"/>
        <v>4.1666666666666661</v>
      </c>
      <c r="H16" s="25"/>
      <c r="I16" s="33">
        <f>G16+$H$4-SUM(H7:H16)</f>
        <v>4.1666666666666661</v>
      </c>
      <c r="K16" s="17"/>
      <c r="O16" s="2" t="s">
        <v>22</v>
      </c>
      <c r="P16" s="15">
        <f>IF(OR($C$6="juli 2022",$C$6="august 2022",$C$6="september 2022",$C$6="oktober 2022",$C$6="november 2022",$C$6="december 2022"),0,25/12)</f>
        <v>2.0833333333333335</v>
      </c>
      <c r="Q16" s="5">
        <f t="shared" si="0"/>
        <v>20.833333333333332</v>
      </c>
      <c r="R16" s="25"/>
      <c r="S16" s="12">
        <f>Q16+$R$4-SUM($R$7:R16)</f>
        <v>20.833333333333332</v>
      </c>
    </row>
    <row r="17" spans="5:23" ht="20.100000000000001" customHeight="1" x14ac:dyDescent="0.25">
      <c r="E17" s="2" t="s">
        <v>23</v>
      </c>
      <c r="F17" s="15">
        <f>IF(OR($C$6="august 2022",$C$6="september 2022",$C$6="oktober 2022",$C$6="november 2022",$C$6="december 2022"),0,5/12)</f>
        <v>0.41666666666666669</v>
      </c>
      <c r="G17" s="5">
        <f t="shared" si="2"/>
        <v>4.583333333333333</v>
      </c>
      <c r="H17" s="25"/>
      <c r="I17" s="33">
        <f>G17+$H$4-SUM(H7:H17)</f>
        <v>4.583333333333333</v>
      </c>
      <c r="K17" s="17"/>
      <c r="O17" s="2" t="s">
        <v>23</v>
      </c>
      <c r="P17" s="15">
        <f>IF(OR($C$6="august 2022",$C$6="september 2022",$C$6="oktober 2022",$C$6="november 2022",$C$6="december 2022"),0,25/12)</f>
        <v>2.0833333333333335</v>
      </c>
      <c r="Q17" s="5">
        <f t="shared" si="0"/>
        <v>22.916666666666664</v>
      </c>
      <c r="R17" s="25"/>
      <c r="S17" s="12">
        <f>Q17+$R$4-SUM($R$7:R17)</f>
        <v>22.916666666666664</v>
      </c>
    </row>
    <row r="18" spans="5:23" ht="20.100000000000001" customHeight="1" x14ac:dyDescent="0.25">
      <c r="E18" s="2" t="s">
        <v>24</v>
      </c>
      <c r="F18" s="15">
        <f>IF(OR($C$6="september 2022",$C$6="oktober 2022",$C$6="november 2022",$C$6="december 2022"),0,5/12)</f>
        <v>0.41666666666666669</v>
      </c>
      <c r="G18" s="5">
        <f t="shared" si="2"/>
        <v>5</v>
      </c>
      <c r="H18" s="25"/>
      <c r="I18" s="33">
        <f>G18+$H$4-SUM(H7:H18)</f>
        <v>5</v>
      </c>
      <c r="K18" s="14"/>
      <c r="L18" s="14"/>
      <c r="M18" s="14"/>
      <c r="N18" s="14"/>
      <c r="O18" s="2" t="s">
        <v>24</v>
      </c>
      <c r="P18" s="15">
        <f>IF(OR($C$6="september 2022",$C$6="oktober 2022",$C$6="november 2022",$C$6="december 2022"),0,25/12)</f>
        <v>2.0833333333333335</v>
      </c>
      <c r="Q18" s="5">
        <f t="shared" si="0"/>
        <v>24.999999999999996</v>
      </c>
      <c r="R18" s="25"/>
      <c r="S18" s="12">
        <f>Q18+$R$4-SUM($R$7:R18)</f>
        <v>24.999999999999996</v>
      </c>
    </row>
    <row r="19" spans="5:23" ht="20.100000000000001" customHeight="1" x14ac:dyDescent="0.25">
      <c r="E19" s="2" t="s">
        <v>25</v>
      </c>
      <c r="F19" s="15">
        <v>0</v>
      </c>
      <c r="G19" s="5">
        <f t="shared" si="2"/>
        <v>5</v>
      </c>
      <c r="H19" s="25"/>
      <c r="I19" s="33">
        <f>G19+$H$4-SUM(H6:H19)</f>
        <v>5</v>
      </c>
      <c r="O19" s="2" t="s">
        <v>25</v>
      </c>
      <c r="P19" s="15">
        <v>0</v>
      </c>
      <c r="Q19" s="5">
        <f t="shared" si="0"/>
        <v>24.999999999999996</v>
      </c>
      <c r="R19" s="25"/>
      <c r="S19" s="12">
        <f>Q19+$R$4-SUM($R$7:R19)</f>
        <v>24.999999999999996</v>
      </c>
    </row>
    <row r="20" spans="5:23" ht="20.100000000000001" customHeight="1" x14ac:dyDescent="0.25">
      <c r="E20" s="2" t="s">
        <v>26</v>
      </c>
      <c r="F20" s="15">
        <v>0</v>
      </c>
      <c r="G20" s="5">
        <f t="shared" si="2"/>
        <v>5</v>
      </c>
      <c r="H20" s="25"/>
      <c r="I20" s="33">
        <f>G20+$H$4-SUM(H7:H20)</f>
        <v>5</v>
      </c>
      <c r="K20" s="66" t="str">
        <f>IF($I$22&gt;0,"OBS: Er der uafholdte feriefridage pr. 31. december 2022, kan de aftales overført til afholdelse inden 31. december 2023 og ellers skal de udbetales sammen med lønnen i januar 2023."," ")</f>
        <v>OBS: Er der uafholdte feriefridage pr. 31. december 2022, kan de aftales overført til afholdelse inden 31. december 2023 og ellers skal de udbetales sammen med lønnen i januar 2023.</v>
      </c>
      <c r="L20" s="66"/>
      <c r="M20" s="66"/>
      <c r="O20" s="2" t="s">
        <v>26</v>
      </c>
      <c r="P20" s="15">
        <v>0</v>
      </c>
      <c r="Q20" s="5">
        <f t="shared" si="0"/>
        <v>24.999999999999996</v>
      </c>
      <c r="R20" s="25"/>
      <c r="S20" s="12">
        <f>Q20+$R$4-SUM($R$7:R20)</f>
        <v>24.999999999999996</v>
      </c>
      <c r="U20" s="66" t="str">
        <f>IF($S$22&gt;0,"OBS: Er der uafholdte feriedage pr. 31. december 2022, kan dage udover 20 feriedage aftales overført eller udbetalt."," ")</f>
        <v>OBS: Er der uafholdte feriedage pr. 31. december 2022, kan dage udover 20 feriedage aftales overført eller udbetalt.</v>
      </c>
      <c r="V20" s="66"/>
      <c r="W20" s="66"/>
    </row>
    <row r="21" spans="5:23" ht="20.100000000000001" customHeight="1" x14ac:dyDescent="0.25">
      <c r="E21" s="2" t="s">
        <v>27</v>
      </c>
      <c r="F21" s="15">
        <v>0</v>
      </c>
      <c r="G21" s="5">
        <f t="shared" si="2"/>
        <v>5</v>
      </c>
      <c r="H21" s="25"/>
      <c r="I21" s="33">
        <f>G21+$H$4-SUM(H7:H21)</f>
        <v>5</v>
      </c>
      <c r="K21" s="66"/>
      <c r="L21" s="66"/>
      <c r="M21" s="66"/>
      <c r="O21" s="2" t="s">
        <v>27</v>
      </c>
      <c r="P21" s="15">
        <v>0</v>
      </c>
      <c r="Q21" s="5">
        <f t="shared" si="0"/>
        <v>24.999999999999996</v>
      </c>
      <c r="R21" s="25"/>
      <c r="S21" s="12">
        <f>Q21+$R$4-SUM($R$7:R21)</f>
        <v>24.999999999999996</v>
      </c>
      <c r="U21" s="66"/>
      <c r="V21" s="66"/>
      <c r="W21" s="66"/>
    </row>
    <row r="22" spans="5:23" ht="20.100000000000001" customHeight="1" x14ac:dyDescent="0.25">
      <c r="E22" s="3" t="s">
        <v>28</v>
      </c>
      <c r="F22" s="16">
        <v>0</v>
      </c>
      <c r="G22" s="6">
        <f t="shared" si="2"/>
        <v>5</v>
      </c>
      <c r="H22" s="26"/>
      <c r="I22" s="34">
        <f>G22+$H$4-SUM(H7:H22)-H24-H25</f>
        <v>5</v>
      </c>
      <c r="K22" s="66"/>
      <c r="L22" s="66"/>
      <c r="M22" s="66"/>
      <c r="O22" s="3" t="s">
        <v>28</v>
      </c>
      <c r="P22" s="16">
        <v>0</v>
      </c>
      <c r="Q22" s="6">
        <f t="shared" si="0"/>
        <v>24.999999999999996</v>
      </c>
      <c r="R22" s="28"/>
      <c r="S22" s="42">
        <f>Q22+$R$4-SUM($R$7:R22)-R24-R25</f>
        <v>24.999999999999996</v>
      </c>
      <c r="U22" s="66"/>
      <c r="V22" s="66"/>
      <c r="W22" s="66"/>
    </row>
    <row r="23" spans="5:23" ht="8.25" customHeight="1" x14ac:dyDescent="0.25">
      <c r="E23" s="8"/>
      <c r="F23" s="8"/>
      <c r="G23" s="9"/>
      <c r="H23" s="11"/>
      <c r="I23" s="10"/>
      <c r="O23" s="8"/>
      <c r="P23" s="8"/>
      <c r="Q23" s="9"/>
      <c r="R23" s="11" t="s">
        <v>41</v>
      </c>
      <c r="S23" s="10"/>
      <c r="U23" s="57"/>
      <c r="V23" s="57"/>
      <c r="W23" s="57"/>
    </row>
    <row r="24" spans="5:23" x14ac:dyDescent="0.25">
      <c r="G24" s="32" t="s">
        <v>35</v>
      </c>
      <c r="H24" s="24"/>
      <c r="O24" s="1"/>
      <c r="P24" s="1"/>
      <c r="Q24" s="32" t="s">
        <v>35</v>
      </c>
      <c r="R24" s="24"/>
      <c r="U24" s="57"/>
      <c r="V24" s="57"/>
      <c r="W24" s="57"/>
    </row>
    <row r="25" spans="5:23" ht="15" customHeight="1" x14ac:dyDescent="0.25">
      <c r="G25" s="32" t="s">
        <v>36</v>
      </c>
      <c r="H25" s="28"/>
      <c r="K25" s="29"/>
      <c r="L25" s="29"/>
      <c r="M25" s="29"/>
      <c r="O25" s="1"/>
      <c r="P25" s="1"/>
      <c r="Q25" s="32" t="s">
        <v>36</v>
      </c>
      <c r="R25" s="28"/>
      <c r="S25" s="20" t="s">
        <v>41</v>
      </c>
    </row>
    <row r="26" spans="5:23" x14ac:dyDescent="0.25">
      <c r="K26" s="29"/>
      <c r="L26" s="29"/>
      <c r="M26" s="29"/>
      <c r="O26" s="1"/>
      <c r="P26" s="1"/>
    </row>
    <row r="27" spans="5:23" ht="45" x14ac:dyDescent="0.25">
      <c r="G27" s="60" t="s">
        <v>52</v>
      </c>
      <c r="K27" s="29"/>
      <c r="L27" s="29"/>
      <c r="M27" s="29"/>
      <c r="O27" s="1"/>
      <c r="P27" s="1"/>
      <c r="Q27" s="60" t="s">
        <v>55</v>
      </c>
    </row>
    <row r="28" spans="5:23" x14ac:dyDescent="0.25">
      <c r="K28" s="29"/>
      <c r="L28" s="29"/>
      <c r="M28" s="29"/>
    </row>
  </sheetData>
  <protectedRanges>
    <protectedRange sqref="H4" name="Område2"/>
    <protectedRange sqref="H11:H23" name="Område1"/>
    <protectedRange sqref="H24:H25" name="Område1_1"/>
    <protectedRange sqref="R11:R25" name="Område1_3"/>
    <protectedRange sqref="C6" name="Område1_2_1_1"/>
  </protectedRanges>
  <mergeCells count="9">
    <mergeCell ref="B7:B11"/>
    <mergeCell ref="O2:S2"/>
    <mergeCell ref="O4:Q4"/>
    <mergeCell ref="U20:W22"/>
    <mergeCell ref="U7:W9"/>
    <mergeCell ref="K20:M22"/>
    <mergeCell ref="E2:I2"/>
    <mergeCell ref="E4:G4"/>
    <mergeCell ref="K7:M9"/>
  </mergeCells>
  <conditionalFormatting sqref="I23">
    <cfRule type="cellIs" dxfId="13" priority="13" operator="greaterThanOrEqual">
      <formula>0</formula>
    </cfRule>
    <cfRule type="cellIs" dxfId="12" priority="14" operator="lessThan">
      <formula>0</formula>
    </cfRule>
  </conditionalFormatting>
  <conditionalFormatting sqref="I8:I22">
    <cfRule type="cellIs" dxfId="11" priority="9" operator="greaterThanOrEqual">
      <formula>0</formula>
    </cfRule>
    <cfRule type="cellIs" dxfId="10" priority="10" operator="lessThan">
      <formula>0</formula>
    </cfRule>
  </conditionalFormatting>
  <conditionalFormatting sqref="I7">
    <cfRule type="cellIs" dxfId="9" priority="7" operator="greaterThanOrEqual">
      <formula>0</formula>
    </cfRule>
    <cfRule type="cellIs" dxfId="8" priority="8" operator="lessThan">
      <formula>0</formula>
    </cfRule>
  </conditionalFormatting>
  <conditionalFormatting sqref="S8:S25">
    <cfRule type="cellIs" dxfId="7" priority="5" operator="greaterThanOrEqual">
      <formula>0</formula>
    </cfRule>
    <cfRule type="cellIs" dxfId="6" priority="6" operator="lessThan">
      <formula>0</formula>
    </cfRule>
  </conditionalFormatting>
  <conditionalFormatting sqref="S9">
    <cfRule type="cellIs" dxfId="5" priority="3" operator="greaterThanOrEqual">
      <formula>0</formula>
    </cfRule>
    <cfRule type="cellIs" dxfId="4" priority="4" operator="lessThan">
      <formula>0</formula>
    </cfRule>
  </conditionalFormatting>
  <conditionalFormatting sqref="S7">
    <cfRule type="cellIs" dxfId="3" priority="1" operator="greaterThanOrEqual">
      <formula>0</formula>
    </cfRule>
    <cfRule type="cellIs" dxfId="2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4B193-45E5-4499-94F5-5CED13B562D3}">
  <dimension ref="E3:G35"/>
  <sheetViews>
    <sheetView workbookViewId="0">
      <selection activeCell="G5" sqref="G5"/>
    </sheetView>
  </sheetViews>
  <sheetFormatPr defaultRowHeight="15" x14ac:dyDescent="0.25"/>
  <cols>
    <col min="5" max="7" width="16.140625" customWidth="1"/>
  </cols>
  <sheetData>
    <row r="3" spans="5:7" x14ac:dyDescent="0.25">
      <c r="E3" s="68" t="s">
        <v>40</v>
      </c>
      <c r="F3" s="69"/>
      <c r="G3" s="72"/>
    </row>
    <row r="4" spans="5:7" ht="14.45" customHeight="1" x14ac:dyDescent="0.25">
      <c r="E4" s="70"/>
      <c r="F4" s="71"/>
      <c r="G4" s="73"/>
    </row>
    <row r="6" spans="5:7" ht="45" x14ac:dyDescent="0.25">
      <c r="E6" s="43" t="s">
        <v>0</v>
      </c>
      <c r="F6" s="44" t="s">
        <v>30</v>
      </c>
      <c r="G6" s="45" t="s">
        <v>42</v>
      </c>
    </row>
    <row r="7" spans="5:7" x14ac:dyDescent="0.25">
      <c r="E7" s="46" t="s">
        <v>1</v>
      </c>
      <c r="F7" s="47"/>
      <c r="G7" s="40">
        <f>(G3*5/12)-F7</f>
        <v>0</v>
      </c>
    </row>
    <row r="8" spans="5:7" x14ac:dyDescent="0.25">
      <c r="E8" s="48" t="s">
        <v>2</v>
      </c>
      <c r="F8" s="49"/>
      <c r="G8" s="41">
        <f>G7-F8</f>
        <v>0</v>
      </c>
    </row>
    <row r="9" spans="5:7" x14ac:dyDescent="0.25">
      <c r="E9" s="48" t="s">
        <v>3</v>
      </c>
      <c r="F9" s="49"/>
      <c r="G9" s="41">
        <f t="shared" ref="G9:G34" si="0">G8-F9</f>
        <v>0</v>
      </c>
    </row>
    <row r="10" spans="5:7" x14ac:dyDescent="0.25">
      <c r="E10" s="48" t="s">
        <v>4</v>
      </c>
      <c r="F10" s="49"/>
      <c r="G10" s="41">
        <f t="shared" si="0"/>
        <v>0</v>
      </c>
    </row>
    <row r="11" spans="5:7" x14ac:dyDescent="0.25">
      <c r="E11" s="48" t="s">
        <v>5</v>
      </c>
      <c r="F11" s="49"/>
      <c r="G11" s="41">
        <f t="shared" si="0"/>
        <v>0</v>
      </c>
    </row>
    <row r="12" spans="5:7" x14ac:dyDescent="0.25">
      <c r="E12" s="48" t="s">
        <v>6</v>
      </c>
      <c r="F12" s="49"/>
      <c r="G12" s="41">
        <f t="shared" si="0"/>
        <v>0</v>
      </c>
    </row>
    <row r="13" spans="5:7" x14ac:dyDescent="0.25">
      <c r="E13" s="48" t="s">
        <v>7</v>
      </c>
      <c r="F13" s="49"/>
      <c r="G13" s="41">
        <f t="shared" si="0"/>
        <v>0</v>
      </c>
    </row>
    <row r="14" spans="5:7" x14ac:dyDescent="0.25">
      <c r="E14" s="48" t="s">
        <v>8</v>
      </c>
      <c r="F14" s="49"/>
      <c r="G14" s="41">
        <f t="shared" si="0"/>
        <v>0</v>
      </c>
    </row>
    <row r="15" spans="5:7" x14ac:dyDescent="0.25">
      <c r="E15" s="48" t="s">
        <v>9</v>
      </c>
      <c r="F15" s="49"/>
      <c r="G15" s="41">
        <f t="shared" si="0"/>
        <v>0</v>
      </c>
    </row>
    <row r="16" spans="5:7" x14ac:dyDescent="0.25">
      <c r="E16" s="48" t="s">
        <v>10</v>
      </c>
      <c r="F16" s="49"/>
      <c r="G16" s="41">
        <f t="shared" si="0"/>
        <v>0</v>
      </c>
    </row>
    <row r="17" spans="5:7" x14ac:dyDescent="0.25">
      <c r="E17" s="48" t="s">
        <v>11</v>
      </c>
      <c r="F17" s="49"/>
      <c r="G17" s="41">
        <f t="shared" si="0"/>
        <v>0</v>
      </c>
    </row>
    <row r="18" spans="5:7" x14ac:dyDescent="0.25">
      <c r="E18" s="48" t="s">
        <v>12</v>
      </c>
      <c r="F18" s="49"/>
      <c r="G18" s="41">
        <f t="shared" si="0"/>
        <v>0</v>
      </c>
    </row>
    <row r="19" spans="5:7" x14ac:dyDescent="0.25">
      <c r="E19" s="48" t="s">
        <v>13</v>
      </c>
      <c r="F19" s="49"/>
      <c r="G19" s="41">
        <f t="shared" si="0"/>
        <v>0</v>
      </c>
    </row>
    <row r="20" spans="5:7" x14ac:dyDescent="0.25">
      <c r="E20" s="48" t="s">
        <v>14</v>
      </c>
      <c r="F20" s="49"/>
      <c r="G20" s="41">
        <f t="shared" si="0"/>
        <v>0</v>
      </c>
    </row>
    <row r="21" spans="5:7" x14ac:dyDescent="0.25">
      <c r="E21" s="48" t="s">
        <v>15</v>
      </c>
      <c r="F21" s="49"/>
      <c r="G21" s="41">
        <f t="shared" si="0"/>
        <v>0</v>
      </c>
    </row>
    <row r="22" spans="5:7" x14ac:dyDescent="0.25">
      <c r="E22" s="48" t="s">
        <v>16</v>
      </c>
      <c r="F22" s="50"/>
      <c r="G22" s="41">
        <f t="shared" si="0"/>
        <v>0</v>
      </c>
    </row>
    <row r="23" spans="5:7" x14ac:dyDescent="0.25">
      <c r="E23" s="48" t="s">
        <v>17</v>
      </c>
      <c r="F23" s="51"/>
      <c r="G23" s="41">
        <f t="shared" si="0"/>
        <v>0</v>
      </c>
    </row>
    <row r="24" spans="5:7" x14ac:dyDescent="0.25">
      <c r="E24" s="48" t="s">
        <v>18</v>
      </c>
      <c r="F24" s="51"/>
      <c r="G24" s="41">
        <f t="shared" si="0"/>
        <v>0</v>
      </c>
    </row>
    <row r="25" spans="5:7" x14ac:dyDescent="0.25">
      <c r="E25" s="48" t="s">
        <v>19</v>
      </c>
      <c r="F25" s="51"/>
      <c r="G25" s="41">
        <f t="shared" si="0"/>
        <v>0</v>
      </c>
    </row>
    <row r="26" spans="5:7" x14ac:dyDescent="0.25">
      <c r="E26" s="48" t="s">
        <v>20</v>
      </c>
      <c r="F26" s="51"/>
      <c r="G26" s="41">
        <f t="shared" si="0"/>
        <v>0</v>
      </c>
    </row>
    <row r="27" spans="5:7" x14ac:dyDescent="0.25">
      <c r="E27" s="48" t="s">
        <v>21</v>
      </c>
      <c r="F27" s="51"/>
      <c r="G27" s="41">
        <f t="shared" si="0"/>
        <v>0</v>
      </c>
    </row>
    <row r="28" spans="5:7" x14ac:dyDescent="0.25">
      <c r="E28" s="48" t="s">
        <v>22</v>
      </c>
      <c r="F28" s="51"/>
      <c r="G28" s="41">
        <f t="shared" si="0"/>
        <v>0</v>
      </c>
    </row>
    <row r="29" spans="5:7" x14ac:dyDescent="0.25">
      <c r="E29" s="48" t="s">
        <v>23</v>
      </c>
      <c r="F29" s="51"/>
      <c r="G29" s="41">
        <f t="shared" si="0"/>
        <v>0</v>
      </c>
    </row>
    <row r="30" spans="5:7" x14ac:dyDescent="0.25">
      <c r="E30" s="48" t="s">
        <v>24</v>
      </c>
      <c r="F30" s="51"/>
      <c r="G30" s="41">
        <f t="shared" si="0"/>
        <v>0</v>
      </c>
    </row>
    <row r="31" spans="5:7" x14ac:dyDescent="0.25">
      <c r="E31" s="48" t="s">
        <v>25</v>
      </c>
      <c r="F31" s="51"/>
      <c r="G31" s="41">
        <f t="shared" si="0"/>
        <v>0</v>
      </c>
    </row>
    <row r="32" spans="5:7" x14ac:dyDescent="0.25">
      <c r="E32" s="48" t="s">
        <v>26</v>
      </c>
      <c r="F32" s="51"/>
      <c r="G32" s="41">
        <f t="shared" si="0"/>
        <v>0</v>
      </c>
    </row>
    <row r="33" spans="5:7" x14ac:dyDescent="0.25">
      <c r="E33" s="48" t="s">
        <v>27</v>
      </c>
      <c r="F33" s="51"/>
      <c r="G33" s="41">
        <f t="shared" si="0"/>
        <v>0</v>
      </c>
    </row>
    <row r="34" spans="5:7" x14ac:dyDescent="0.25">
      <c r="E34" s="52" t="s">
        <v>28</v>
      </c>
      <c r="F34" s="53"/>
      <c r="G34" s="42">
        <f t="shared" si="0"/>
        <v>0</v>
      </c>
    </row>
    <row r="35" spans="5:7" x14ac:dyDescent="0.25">
      <c r="E35" s="8" t="s">
        <v>41</v>
      </c>
    </row>
  </sheetData>
  <protectedRanges>
    <protectedRange sqref="F7:F22" name="Område1"/>
    <protectedRange sqref="G4" name="Område2_2"/>
  </protectedRanges>
  <mergeCells count="2">
    <mergeCell ref="E3:F4"/>
    <mergeCell ref="G3:G4"/>
  </mergeCells>
  <phoneticPr fontId="11" type="noConversion"/>
  <conditionalFormatting sqref="G7:G34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2020-2021</vt:lpstr>
      <vt:lpstr>2021-2022</vt:lpstr>
      <vt:lpstr>Overgangsordning feriefridage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Helle Lindholm</cp:lastModifiedBy>
  <dcterms:created xsi:type="dcterms:W3CDTF">2019-05-23T11:46:23Z</dcterms:created>
  <dcterms:modified xsi:type="dcterms:W3CDTF">2020-09-01T11:34:10Z</dcterms:modified>
</cp:coreProperties>
</file>