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3E67A355-F4EE-4251-835E-7A7AE6A7E181}" xr6:coauthVersionLast="47" xr6:coauthVersionMax="47" xr10:uidLastSave="{00000000-0000-0000-0000-000000000000}"/>
  <bookViews>
    <workbookView xWindow="-110" yWindow="-110" windowWidth="19420" windowHeight="10420" firstSheet="3" activeTab="5" xr2:uid="{78015DF5-C306-4F15-95F1-5465180BD79A}"/>
  </bookViews>
  <sheets>
    <sheet name="2020-2021" sheetId="1" state="hidden" r:id="rId1"/>
    <sheet name="2021-2022" sheetId="4" state="hidden" r:id="rId2"/>
    <sheet name="2022-2023" sheetId="6" state="hidden" r:id="rId3"/>
    <sheet name="2023-2024" sheetId="7" r:id="rId4"/>
    <sheet name="2024-2025" sheetId="8" r:id="rId5"/>
    <sheet name="2025-2026" sheetId="9" r:id="rId6"/>
    <sheet name="Overgangsordning feriefridage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9" l="1"/>
  <c r="U7" i="8"/>
  <c r="K7" i="8"/>
  <c r="U20" i="9"/>
  <c r="U7" i="9"/>
  <c r="K20" i="9"/>
  <c r="P18" i="9"/>
  <c r="F18" i="9"/>
  <c r="P17" i="9"/>
  <c r="F17" i="9"/>
  <c r="P16" i="9"/>
  <c r="F16" i="9"/>
  <c r="P15" i="9"/>
  <c r="F15" i="9"/>
  <c r="P14" i="9"/>
  <c r="F14" i="9"/>
  <c r="P13" i="9"/>
  <c r="F13" i="9"/>
  <c r="P12" i="9"/>
  <c r="F12" i="9"/>
  <c r="P11" i="9"/>
  <c r="F11" i="9"/>
  <c r="P10" i="9"/>
  <c r="F10" i="9"/>
  <c r="P9" i="9"/>
  <c r="F9" i="9"/>
  <c r="P8" i="9"/>
  <c r="F8" i="9"/>
  <c r="P7" i="9"/>
  <c r="S7" i="9" s="1"/>
  <c r="F7" i="9"/>
  <c r="I7" i="9" s="1"/>
  <c r="R4" i="9"/>
  <c r="H4" i="9"/>
  <c r="P18" i="8"/>
  <c r="F18" i="8"/>
  <c r="P17" i="8"/>
  <c r="F17" i="8"/>
  <c r="P16" i="8"/>
  <c r="F16" i="8"/>
  <c r="P15" i="8"/>
  <c r="F15" i="8"/>
  <c r="P14" i="8"/>
  <c r="F14" i="8"/>
  <c r="P13" i="8"/>
  <c r="F13" i="8"/>
  <c r="P12" i="8"/>
  <c r="F12" i="8"/>
  <c r="P11" i="8"/>
  <c r="F11" i="8"/>
  <c r="P10" i="8"/>
  <c r="F10" i="8"/>
  <c r="P9" i="8"/>
  <c r="F9" i="8"/>
  <c r="P8" i="8"/>
  <c r="F8" i="8"/>
  <c r="P7" i="8"/>
  <c r="Q7" i="8" s="1"/>
  <c r="Q8" i="8" s="1"/>
  <c r="F7" i="8"/>
  <c r="I7" i="8" s="1"/>
  <c r="R4" i="8"/>
  <c r="H4" i="8"/>
  <c r="F7" i="7"/>
  <c r="G7" i="7" s="1"/>
  <c r="G8" i="7" s="1"/>
  <c r="I8" i="7" s="1"/>
  <c r="U20" i="7"/>
  <c r="U7" i="7"/>
  <c r="I7" i="7"/>
  <c r="K7" i="7"/>
  <c r="H4" i="4"/>
  <c r="I7" i="4" s="1"/>
  <c r="H4" i="7"/>
  <c r="R4" i="4"/>
  <c r="R4" i="6"/>
  <c r="R4" i="7"/>
  <c r="P18" i="7"/>
  <c r="F18" i="7"/>
  <c r="P17" i="7"/>
  <c r="F17" i="7"/>
  <c r="P16" i="7"/>
  <c r="F16" i="7"/>
  <c r="P15" i="7"/>
  <c r="F15" i="7"/>
  <c r="P14" i="7"/>
  <c r="F14" i="7"/>
  <c r="P13" i="7"/>
  <c r="F13" i="7"/>
  <c r="P12" i="7"/>
  <c r="F12" i="7"/>
  <c r="P11" i="7"/>
  <c r="F11" i="7"/>
  <c r="P10" i="7"/>
  <c r="F10" i="7"/>
  <c r="P9" i="7"/>
  <c r="F9" i="7"/>
  <c r="P8" i="7"/>
  <c r="F8" i="7"/>
  <c r="P7" i="7"/>
  <c r="Q7" i="7" s="1"/>
  <c r="F7" i="6"/>
  <c r="I7" i="6" s="1"/>
  <c r="P8" i="6"/>
  <c r="P9" i="6"/>
  <c r="P10" i="6"/>
  <c r="P11" i="6"/>
  <c r="P12" i="6"/>
  <c r="P13" i="6"/>
  <c r="P14" i="6"/>
  <c r="P15" i="6"/>
  <c r="P16" i="6"/>
  <c r="P17" i="6"/>
  <c r="P18" i="6"/>
  <c r="P7" i="6"/>
  <c r="F18" i="4"/>
  <c r="F8" i="6"/>
  <c r="F9" i="6"/>
  <c r="F10" i="6"/>
  <c r="F11" i="6"/>
  <c r="F12" i="6"/>
  <c r="F13" i="6"/>
  <c r="F14" i="6"/>
  <c r="F15" i="6"/>
  <c r="F16" i="6"/>
  <c r="F17" i="6"/>
  <c r="F18" i="6"/>
  <c r="F7" i="4"/>
  <c r="U20" i="1"/>
  <c r="K20" i="1"/>
  <c r="P18" i="4"/>
  <c r="P17" i="4"/>
  <c r="P16" i="4"/>
  <c r="P15" i="4"/>
  <c r="P14" i="4"/>
  <c r="P13" i="4"/>
  <c r="P12" i="4"/>
  <c r="P11" i="4"/>
  <c r="P10" i="4"/>
  <c r="P9" i="4"/>
  <c r="P8" i="4"/>
  <c r="P7" i="4"/>
  <c r="P18" i="1"/>
  <c r="P17" i="1"/>
  <c r="P16" i="1"/>
  <c r="P15" i="1"/>
  <c r="P14" i="1"/>
  <c r="P13" i="1"/>
  <c r="P12" i="1"/>
  <c r="P11" i="1"/>
  <c r="P10" i="1"/>
  <c r="P9" i="1"/>
  <c r="P8" i="1"/>
  <c r="P7" i="1"/>
  <c r="S7" i="1" s="1"/>
  <c r="F11" i="1"/>
  <c r="F8" i="1"/>
  <c r="G7" i="5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Q7" i="9" l="1"/>
  <c r="Q8" i="9" s="1"/>
  <c r="G7" i="9"/>
  <c r="G8" i="9" s="1"/>
  <c r="Q9" i="8"/>
  <c r="S8" i="8"/>
  <c r="S7" i="8"/>
  <c r="G7" i="8"/>
  <c r="G8" i="8" s="1"/>
  <c r="S7" i="6"/>
  <c r="S7" i="7"/>
  <c r="Q8" i="7"/>
  <c r="G7" i="6"/>
  <c r="G8" i="6" s="1"/>
  <c r="Q7" i="6"/>
  <c r="Q8" i="6" s="1"/>
  <c r="S7" i="4"/>
  <c r="Q7" i="4"/>
  <c r="Q8" i="4" s="1"/>
  <c r="Q7" i="1"/>
  <c r="Q8" i="1" s="1"/>
  <c r="S8" i="1" s="1"/>
  <c r="F17" i="4"/>
  <c r="F16" i="4"/>
  <c r="F15" i="4"/>
  <c r="F14" i="4"/>
  <c r="F13" i="4"/>
  <c r="F12" i="4"/>
  <c r="F11" i="4"/>
  <c r="F10" i="4"/>
  <c r="F9" i="4"/>
  <c r="F8" i="4"/>
  <c r="F18" i="1"/>
  <c r="F17" i="1"/>
  <c r="F16" i="1"/>
  <c r="F15" i="1"/>
  <c r="F14" i="1"/>
  <c r="F13" i="1"/>
  <c r="F12" i="1"/>
  <c r="F10" i="1"/>
  <c r="F9" i="1"/>
  <c r="F7" i="1"/>
  <c r="I8" i="9" l="1"/>
  <c r="G9" i="9"/>
  <c r="Q9" i="9"/>
  <c r="S8" i="9"/>
  <c r="S9" i="8"/>
  <c r="Q10" i="8"/>
  <c r="I8" i="8"/>
  <c r="G9" i="8"/>
  <c r="G9" i="7"/>
  <c r="I9" i="7" s="1"/>
  <c r="Q9" i="7"/>
  <c r="S8" i="7"/>
  <c r="Q9" i="6"/>
  <c r="S8" i="6"/>
  <c r="I8" i="6"/>
  <c r="G9" i="6"/>
  <c r="Q9" i="4"/>
  <c r="Q9" i="1"/>
  <c r="S9" i="1" s="1"/>
  <c r="Q10" i="9" l="1"/>
  <c r="S9" i="9"/>
  <c r="I9" i="9"/>
  <c r="G10" i="9"/>
  <c r="S10" i="8"/>
  <c r="Q11" i="8"/>
  <c r="G10" i="8"/>
  <c r="I9" i="8"/>
  <c r="G10" i="7"/>
  <c r="G11" i="7" s="1"/>
  <c r="Q10" i="7"/>
  <c r="S9" i="7"/>
  <c r="G10" i="6"/>
  <c r="I9" i="6"/>
  <c r="Q10" i="6"/>
  <c r="S9" i="6"/>
  <c r="Q10" i="4"/>
  <c r="Q10" i="1"/>
  <c r="S10" i="1" s="1"/>
  <c r="I7" i="1"/>
  <c r="I10" i="9" l="1"/>
  <c r="G11" i="9"/>
  <c r="S10" i="9"/>
  <c r="Q11" i="9"/>
  <c r="Q12" i="8"/>
  <c r="S11" i="8"/>
  <c r="G11" i="8"/>
  <c r="I10" i="8"/>
  <c r="I10" i="7"/>
  <c r="I11" i="7"/>
  <c r="G12" i="7"/>
  <c r="S10" i="7"/>
  <c r="Q11" i="7"/>
  <c r="S10" i="6"/>
  <c r="Q11" i="6"/>
  <c r="G11" i="6"/>
  <c r="I10" i="6"/>
  <c r="Q11" i="4"/>
  <c r="Q11" i="1"/>
  <c r="S11" i="1" s="1"/>
  <c r="G7" i="4"/>
  <c r="G8" i="4" s="1"/>
  <c r="G7" i="1"/>
  <c r="G8" i="1" s="1"/>
  <c r="I8" i="1" s="1"/>
  <c r="S11" i="9" l="1"/>
  <c r="Q12" i="9"/>
  <c r="G12" i="9"/>
  <c r="I11" i="9"/>
  <c r="Q13" i="8"/>
  <c r="S12" i="8"/>
  <c r="I11" i="8"/>
  <c r="G12" i="8"/>
  <c r="G13" i="7"/>
  <c r="I12" i="7"/>
  <c r="Q12" i="7"/>
  <c r="S11" i="7"/>
  <c r="G12" i="6"/>
  <c r="I11" i="6"/>
  <c r="S11" i="6"/>
  <c r="Q12" i="6"/>
  <c r="G9" i="4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Q12" i="4"/>
  <c r="Q12" i="1"/>
  <c r="S12" i="1" s="1"/>
  <c r="G9" i="1"/>
  <c r="Q13" i="9" l="1"/>
  <c r="S12" i="9"/>
  <c r="I12" i="9"/>
  <c r="G13" i="9"/>
  <c r="S13" i="8"/>
  <c r="Q14" i="8"/>
  <c r="I12" i="8"/>
  <c r="G13" i="8"/>
  <c r="I13" i="7"/>
  <c r="G14" i="7"/>
  <c r="S12" i="7"/>
  <c r="Q13" i="7"/>
  <c r="Q13" i="6"/>
  <c r="S12" i="6"/>
  <c r="G13" i="6"/>
  <c r="I12" i="6"/>
  <c r="Q13" i="4"/>
  <c r="Q13" i="1"/>
  <c r="S13" i="1" s="1"/>
  <c r="G10" i="1"/>
  <c r="I9" i="1"/>
  <c r="I13" i="9" l="1"/>
  <c r="G14" i="9"/>
  <c r="Q14" i="9"/>
  <c r="S13" i="9"/>
  <c r="G14" i="8"/>
  <c r="I13" i="8"/>
  <c r="S14" i="8"/>
  <c r="Q15" i="8"/>
  <c r="S13" i="7"/>
  <c r="Q14" i="7"/>
  <c r="G15" i="7"/>
  <c r="I14" i="7"/>
  <c r="I13" i="6"/>
  <c r="G14" i="6"/>
  <c r="S13" i="6"/>
  <c r="Q14" i="6"/>
  <c r="Q14" i="4"/>
  <c r="Q14" i="1"/>
  <c r="S14" i="1" s="1"/>
  <c r="G11" i="1"/>
  <c r="I10" i="1"/>
  <c r="S14" i="9" l="1"/>
  <c r="Q15" i="9"/>
  <c r="I14" i="9"/>
  <c r="G15" i="9"/>
  <c r="G15" i="8"/>
  <c r="I14" i="8"/>
  <c r="Q16" i="8"/>
  <c r="S15" i="8"/>
  <c r="Q15" i="7"/>
  <c r="S14" i="7"/>
  <c r="G16" i="7"/>
  <c r="I15" i="7"/>
  <c r="Q15" i="6"/>
  <c r="S14" i="6"/>
  <c r="G15" i="6"/>
  <c r="I14" i="6"/>
  <c r="Q15" i="4"/>
  <c r="Q15" i="1"/>
  <c r="S15" i="1" s="1"/>
  <c r="G12" i="1"/>
  <c r="I11" i="1"/>
  <c r="G16" i="9" l="1"/>
  <c r="I15" i="9"/>
  <c r="S15" i="9"/>
  <c r="Q16" i="9"/>
  <c r="G16" i="8"/>
  <c r="I15" i="8"/>
  <c r="Q17" i="8"/>
  <c r="S16" i="8"/>
  <c r="S15" i="7"/>
  <c r="Q16" i="7"/>
  <c r="I16" i="7"/>
  <c r="G17" i="7"/>
  <c r="G16" i="6"/>
  <c r="I15" i="6"/>
  <c r="S15" i="6"/>
  <c r="Q16" i="6"/>
  <c r="Q16" i="4"/>
  <c r="Q16" i="1"/>
  <c r="S16" i="1" s="1"/>
  <c r="I12" i="1"/>
  <c r="G13" i="1"/>
  <c r="Q17" i="9" l="1"/>
  <c r="S16" i="9"/>
  <c r="I16" i="9"/>
  <c r="G17" i="9"/>
  <c r="I16" i="8"/>
  <c r="G17" i="8"/>
  <c r="S17" i="8"/>
  <c r="Q18" i="8"/>
  <c r="G18" i="7"/>
  <c r="I17" i="7"/>
  <c r="Q17" i="7"/>
  <c r="S16" i="7"/>
  <c r="Q17" i="6"/>
  <c r="S16" i="6"/>
  <c r="I16" i="6"/>
  <c r="G17" i="6"/>
  <c r="Q17" i="4"/>
  <c r="Q17" i="1"/>
  <c r="S17" i="1" s="1"/>
  <c r="G14" i="1"/>
  <c r="I13" i="1"/>
  <c r="I17" i="9" l="1"/>
  <c r="G18" i="9"/>
  <c r="Q18" i="9"/>
  <c r="S17" i="9"/>
  <c r="I17" i="8"/>
  <c r="G18" i="8"/>
  <c r="S18" i="8"/>
  <c r="Q19" i="8"/>
  <c r="Q18" i="7"/>
  <c r="S17" i="7"/>
  <c r="I18" i="7"/>
  <c r="G19" i="7"/>
  <c r="G18" i="6"/>
  <c r="I17" i="6"/>
  <c r="Q18" i="6"/>
  <c r="S17" i="6"/>
  <c r="Q18" i="4"/>
  <c r="Q18" i="1"/>
  <c r="S18" i="1" s="1"/>
  <c r="I14" i="1"/>
  <c r="G15" i="1"/>
  <c r="G19" i="9" l="1"/>
  <c r="I18" i="9"/>
  <c r="S18" i="9"/>
  <c r="Q19" i="9"/>
  <c r="G19" i="8"/>
  <c r="I18" i="8"/>
  <c r="Q20" i="8"/>
  <c r="S19" i="8"/>
  <c r="I19" i="7"/>
  <c r="G20" i="7"/>
  <c r="S18" i="7"/>
  <c r="Q19" i="7"/>
  <c r="S18" i="6"/>
  <c r="Q19" i="6"/>
  <c r="G19" i="6"/>
  <c r="I18" i="6"/>
  <c r="Q19" i="4"/>
  <c r="Q19" i="1"/>
  <c r="S19" i="1" s="1"/>
  <c r="G16" i="1"/>
  <c r="I15" i="1"/>
  <c r="Q20" i="9" l="1"/>
  <c r="S19" i="9"/>
  <c r="G20" i="9"/>
  <c r="I19" i="9"/>
  <c r="I19" i="8"/>
  <c r="G20" i="8"/>
  <c r="S20" i="8"/>
  <c r="Q21" i="8"/>
  <c r="Q20" i="7"/>
  <c r="S19" i="7"/>
  <c r="G21" i="7"/>
  <c r="I20" i="7"/>
  <c r="I19" i="6"/>
  <c r="G20" i="6"/>
  <c r="Q20" i="6"/>
  <c r="S19" i="6"/>
  <c r="Q20" i="4"/>
  <c r="Q20" i="1"/>
  <c r="S20" i="1" s="1"/>
  <c r="G17" i="1"/>
  <c r="I16" i="1"/>
  <c r="I20" i="9" l="1"/>
  <c r="G21" i="9"/>
  <c r="S20" i="9"/>
  <c r="Q21" i="9"/>
  <c r="G21" i="8"/>
  <c r="I20" i="8"/>
  <c r="Q22" i="8"/>
  <c r="S22" i="8" s="1"/>
  <c r="U20" i="8" s="1"/>
  <c r="S21" i="8"/>
  <c r="G22" i="7"/>
  <c r="I22" i="7" s="1"/>
  <c r="K20" i="7" s="1"/>
  <c r="I21" i="7"/>
  <c r="Q21" i="7"/>
  <c r="S20" i="7"/>
  <c r="Q21" i="6"/>
  <c r="S20" i="6"/>
  <c r="G21" i="6"/>
  <c r="I20" i="6"/>
  <c r="Q21" i="4"/>
  <c r="Q21" i="1"/>
  <c r="S21" i="1" s="1"/>
  <c r="G18" i="1"/>
  <c r="I17" i="1"/>
  <c r="Q22" i="9" l="1"/>
  <c r="S22" i="9" s="1"/>
  <c r="S21" i="9"/>
  <c r="G22" i="9"/>
  <c r="I22" i="9" s="1"/>
  <c r="I21" i="9"/>
  <c r="I21" i="8"/>
  <c r="G22" i="8"/>
  <c r="I22" i="8" s="1"/>
  <c r="K20" i="8" s="1"/>
  <c r="Q22" i="7"/>
  <c r="S22" i="7" s="1"/>
  <c r="S21" i="7"/>
  <c r="G22" i="6"/>
  <c r="I22" i="6" s="1"/>
  <c r="K20" i="6" s="1"/>
  <c r="I21" i="6"/>
  <c r="Q22" i="6"/>
  <c r="S22" i="6" s="1"/>
  <c r="U20" i="6" s="1"/>
  <c r="S21" i="6"/>
  <c r="Q22" i="4"/>
  <c r="Q22" i="1"/>
  <c r="S22" i="1" s="1"/>
  <c r="I18" i="1"/>
  <c r="G19" i="1"/>
  <c r="U7" i="4" l="1"/>
  <c r="S25" i="1"/>
  <c r="I19" i="1"/>
  <c r="G20" i="1"/>
  <c r="S22" i="4" l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I20" i="1"/>
  <c r="G21" i="1"/>
  <c r="U20" i="4" l="1"/>
  <c r="U7" i="6"/>
  <c r="I21" i="1"/>
  <c r="G22" i="1"/>
  <c r="I22" i="1" s="1"/>
  <c r="K7" i="4" l="1"/>
  <c r="I25" i="1"/>
  <c r="I9" i="4" l="1"/>
  <c r="I8" i="4"/>
  <c r="I15" i="4"/>
  <c r="I20" i="4"/>
  <c r="I14" i="4"/>
  <c r="I11" i="4"/>
  <c r="I22" i="4"/>
  <c r="I17" i="4"/>
  <c r="I16" i="4"/>
  <c r="I18" i="4"/>
  <c r="I10" i="4"/>
  <c r="I12" i="4"/>
  <c r="I21" i="4"/>
  <c r="I19" i="4"/>
  <c r="I13" i="4"/>
  <c r="K20" i="4" l="1"/>
  <c r="K7" i="6"/>
</calcChain>
</file>

<file path=xl/sharedStrings.xml><?xml version="1.0" encoding="utf-8"?>
<sst xmlns="http://schemas.openxmlformats.org/spreadsheetml/2006/main" count="242" uniqueCount="76">
  <si>
    <t>Måned/år</t>
  </si>
  <si>
    <t>September 2020</t>
  </si>
  <si>
    <t>Oktober 2020</t>
  </si>
  <si>
    <t>November 2020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</si>
  <si>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</si>
  <si>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</si>
  <si>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</si>
  <si>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</si>
  <si>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</si>
  <si>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</si>
  <si>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</si>
  <si>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</si>
  <si>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</si>
  <si>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</si>
  <si>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</si>
  <si>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</si>
  <si>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</si>
  <si>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>Januar 2022</t>
  </si>
  <si>
    <t>Februar 2022</t>
  </si>
  <si>
    <t>Marts 2022</t>
  </si>
  <si>
    <t>April 2022</t>
  </si>
  <si>
    <t>Maj 2022</t>
  </si>
  <si>
    <t>Juni 2022</t>
  </si>
  <si>
    <t>Juli 2022</t>
  </si>
  <si>
    <t>August 2022</t>
  </si>
  <si>
    <t>September 2022</t>
  </si>
  <si>
    <t>Oktober 2022</t>
  </si>
  <si>
    <t>November 2022</t>
  </si>
  <si>
    <t>December 2022</t>
  </si>
  <si>
    <t>Overførte feriefridage pr. 31. august 2020</t>
  </si>
  <si>
    <t>Afviklede eller planlagte feriefridage</t>
  </si>
  <si>
    <t>Feriefridags-saldo</t>
  </si>
  <si>
    <t>Feriefridage 1. september 2020 - 31. december 2021</t>
  </si>
  <si>
    <t>Feriefridage 1. september 2021 - 31. december 2022</t>
  </si>
  <si>
    <t>Overførte feriefridage pr. 31. december 2021</t>
  </si>
  <si>
    <t>Antal dage overføres</t>
  </si>
  <si>
    <t>Antal dage udbetales</t>
  </si>
  <si>
    <t>Første hele ansættelsesmåned (fx december 2020):</t>
  </si>
  <si>
    <t>OBS: Hvis medarbejderen ikke er ansat den 1. i en måned, skal du manuelt regne den optjente ferie ud og indsætte under "optjent" i skemaet. Der optjenes 0,07 feriedag og 0,014 feriefridag pr. ansættelsesdag.</t>
  </si>
  <si>
    <t>Første hele ansættelsesmåned (fx december 2021):</t>
  </si>
  <si>
    <t>Antal måneders ansættelse i perioden 1. januar 2020 - 31. august 2020</t>
  </si>
  <si>
    <t xml:space="preserve"> </t>
  </si>
  <si>
    <t>Feriefridagssaldo</t>
  </si>
  <si>
    <t>Feriedage 1. september 2020 - 31. december 2021</t>
  </si>
  <si>
    <t>Uafholdte feriedage pr. 31. august 2020</t>
  </si>
  <si>
    <t>Afviklede eller planlagte feriedage</t>
  </si>
  <si>
    <t>Feriesaldo</t>
  </si>
  <si>
    <t>Feriedage 1. september 2021 - 31. december 2022</t>
  </si>
  <si>
    <t>Overførte feriedage pr. 31. december 2021</t>
  </si>
  <si>
    <t>Optjente feriefridage*</t>
  </si>
  <si>
    <t>Skriv i dette felt, hvis ansat efter 1. september 2020</t>
  </si>
  <si>
    <t>Skriv i dette felt, hvis ansat efter 1. september 2021</t>
  </si>
  <si>
    <t xml:space="preserve">*Afrundede værdier. Der optjenes 5 feriefridage pr. ferieår. </t>
  </si>
  <si>
    <t>Optjent*</t>
  </si>
  <si>
    <t>Optjente feriedage*</t>
  </si>
  <si>
    <t xml:space="preserve">*Afrundede værdier. Der optjenes 25 feriedage pr. ferieår. </t>
  </si>
  <si>
    <t>Feriefridage 1. september 2022 - 31. december 2023</t>
  </si>
  <si>
    <t>Feriedage 1. september 2022 - 31. december 2023</t>
  </si>
  <si>
    <t>Overførte feriefridage pr. 31. december 2022</t>
  </si>
  <si>
    <t>Overførte feriedage pr. 31. december 2022</t>
  </si>
  <si>
    <t>Vælg første hele ansættelsesmåned (fx december 2021):</t>
  </si>
  <si>
    <t>Overførte feriefridage pr. 31. december 2023</t>
  </si>
  <si>
    <t>Overførte feriedage pr. 31. december 2023</t>
  </si>
  <si>
    <t>Feriefridage 1. september 2023 - 31. december 2024</t>
  </si>
  <si>
    <t>Feriedage 1. september 2023 - 31. december 2024</t>
  </si>
  <si>
    <t>Vælg første hele ansættelsesmåned (fx december 2023):</t>
  </si>
  <si>
    <t>Feriefridage 1. september 2024 - 31. december 2025</t>
  </si>
  <si>
    <t>Overførte feriefridage pr. 31. december 2024</t>
  </si>
  <si>
    <t>Vælg første hele ansættelsesmåned (fx december 2024):</t>
  </si>
  <si>
    <t>Feriedage 1. september 2024 - 31. december 2025</t>
  </si>
  <si>
    <t>Overførte feriedage pr. 31. december 2024</t>
  </si>
  <si>
    <t>Vælg første hele ansættelsesmåned (fx december 2025):</t>
  </si>
  <si>
    <t>Feriefridage 1. september 2025 - 31. december 2026</t>
  </si>
  <si>
    <t>Overførte feriefridage pr. 31. december 2025</t>
  </si>
  <si>
    <t>Feriedage 1. september 2025 - 31. december 2026</t>
  </si>
  <si>
    <t>Overførte feriedage pr. 31.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</si>
</sst>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color rgb="FF00557A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57A"/>
        <bgColor indexed="64"/>
      </patternFill>
    </fill>
    <fill>
      <patternFill patternType="solid">
        <fgColor rgb="FFB3C6D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9">
    <xf numFmtId="0" fontId="0" fillId="0" borderId="0" xfId="0"/>
    <xf numFmtId="49" fontId="0" fillId="0" borderId="0" xfId="0" applyNumberFormat="1"/>
    <xf numFmtId="49" fontId="0" fillId="0" borderId="4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49" fontId="0" fillId="0" borderId="9" xfId="0" applyNumberFormat="1" applyBorder="1" applyAlignment="1">
      <alignment horizontal="left" vertical="center"/>
    </xf>
    <xf numFmtId="2" fontId="5" fillId="0" borderId="0" xfId="0" applyNumberFormat="1" applyFont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7" fillId="2" borderId="0" xfId="0" applyFont="1" applyFill="1"/>
    <xf numFmtId="2" fontId="9" fillId="0" borderId="5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6" fontId="0" fillId="0" borderId="0" xfId="0" applyNumberFormat="1"/>
    <xf numFmtId="2" fontId="0" fillId="0" borderId="0" xfId="0" applyNumberFormat="1"/>
    <xf numFmtId="0" fontId="6" fillId="2" borderId="2" xfId="0" applyFont="1" applyFill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/>
    <xf numFmtId="49" fontId="0" fillId="0" borderId="10" xfId="0" applyNumberFormat="1" applyBorder="1" applyAlignment="1">
      <alignment horizontal="left" vertical="center"/>
    </xf>
    <xf numFmtId="0" fontId="0" fillId="3" borderId="13" xfId="0" applyFill="1" applyBorder="1"/>
    <xf numFmtId="43" fontId="0" fillId="0" borderId="0" xfId="1" applyFont="1"/>
    <xf numFmtId="2" fontId="0" fillId="3" borderId="11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0" fillId="0" borderId="14" xfId="0" applyNumberForma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9" xfId="0" applyNumberFormat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17" fontId="0" fillId="0" borderId="6" xfId="0" applyNumberFormat="1" applyBorder="1" applyAlignment="1">
      <alignment horizontal="left" vertical="center"/>
    </xf>
    <xf numFmtId="17" fontId="13" fillId="3" borderId="4" xfId="0" applyNumberFormat="1" applyFont="1" applyFill="1" applyBorder="1" applyAlignment="1">
      <alignment horizontal="center" vertical="center"/>
    </xf>
    <xf numFmtId="0" fontId="0" fillId="0" borderId="0" xfId="0" quotePrefix="1"/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2">
    <cellStyle name="Komma" xfId="1" builtinId="3"/>
    <cellStyle name="Normal" xfId="0" builtinId="0"/>
  </cellStyles>
  <dxfs count="2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B3C6D2"/>
      <color rgb="FF00557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PL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A5B1B"/>
      </a:accent1>
      <a:accent2>
        <a:srgbClr val="9A999A"/>
      </a:accent2>
      <a:accent3>
        <a:srgbClr val="C0D3C8"/>
      </a:accent3>
      <a:accent4>
        <a:srgbClr val="2E3335"/>
      </a:accent4>
      <a:accent5>
        <a:srgbClr val="FFC000"/>
      </a:accent5>
      <a:accent6>
        <a:srgbClr val="BDD7E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462E-2BA9-4B97-99AB-A8C0952D47E3}">
  <dimension ref="B1:W28"/>
  <sheetViews>
    <sheetView topLeftCell="B1" zoomScale="70" zoomScaleNormal="70" workbookViewId="0">
      <selection activeCell="R4" sqref="R4"/>
    </sheetView>
  </sheetViews>
  <sheetFormatPr defaultRowHeight="14.5" x14ac:dyDescent="0.35"/>
  <cols>
    <col min="2" max="2" width="33" bestFit="1" customWidth="1"/>
    <col min="3" max="3" width="26.7265625" customWidth="1"/>
    <col min="4" max="4" width="5.453125" customWidth="1"/>
    <col min="5" max="5" width="15.453125" style="1" bestFit="1" customWidth="1"/>
    <col min="6" max="6" width="15.453125" style="1" customWidth="1"/>
    <col min="7" max="7" width="23.54296875" customWidth="1"/>
    <col min="8" max="8" width="18.54296875" customWidth="1"/>
    <col min="9" max="9" width="13.81640625" customWidth="1"/>
    <col min="10" max="10" width="2.453125" customWidth="1"/>
    <col min="13" max="13" width="30.7265625" customWidth="1"/>
    <col min="14" max="14" width="21.453125" customWidth="1"/>
    <col min="15" max="16" width="15.453125" customWidth="1"/>
    <col min="17" max="17" width="23.453125" customWidth="1"/>
    <col min="18" max="18" width="18.54296875" customWidth="1"/>
    <col min="19" max="19" width="13.81640625" customWidth="1"/>
    <col min="23" max="23" width="30.54296875" customWidth="1"/>
  </cols>
  <sheetData>
    <row r="1" spans="2:19" x14ac:dyDescent="0.35">
      <c r="E1"/>
      <c r="F1"/>
    </row>
    <row r="2" spans="2:19" ht="17" x14ac:dyDescent="0.4">
      <c r="E2" s="67" t="s">
        <v>32</v>
      </c>
      <c r="F2" s="67"/>
      <c r="G2" s="67"/>
      <c r="H2" s="67"/>
      <c r="I2" s="67"/>
      <c r="O2" s="67" t="s">
        <v>43</v>
      </c>
      <c r="P2" s="67"/>
      <c r="Q2" s="67"/>
      <c r="R2" s="67"/>
      <c r="S2" s="67"/>
    </row>
    <row r="3" spans="2:19" ht="17" x14ac:dyDescent="0.4">
      <c r="E3" s="17"/>
      <c r="F3" s="17"/>
      <c r="G3" s="17"/>
      <c r="H3" s="17"/>
      <c r="I3" s="17"/>
      <c r="O3" s="17"/>
      <c r="P3" s="17"/>
      <c r="Q3" s="17"/>
      <c r="R3" s="17"/>
      <c r="S3" s="17"/>
    </row>
    <row r="4" spans="2:19" ht="30" customHeight="1" x14ac:dyDescent="0.35">
      <c r="E4" s="68" t="s">
        <v>29</v>
      </c>
      <c r="F4" s="69"/>
      <c r="G4" s="69"/>
      <c r="H4" s="34"/>
      <c r="O4" s="68" t="s">
        <v>44</v>
      </c>
      <c r="P4" s="69"/>
      <c r="Q4" s="69"/>
      <c r="R4" s="52"/>
    </row>
    <row r="5" spans="2:19" x14ac:dyDescent="0.35">
      <c r="E5"/>
      <c r="F5"/>
      <c r="K5" s="13"/>
      <c r="L5" s="13"/>
      <c r="M5" s="13"/>
      <c r="R5" s="51"/>
    </row>
    <row r="6" spans="2:19" ht="47.25" customHeight="1" x14ac:dyDescent="0.35">
      <c r="B6" s="37" t="s">
        <v>37</v>
      </c>
      <c r="C6" s="53" t="s">
        <v>50</v>
      </c>
      <c r="E6" s="20" t="s">
        <v>0</v>
      </c>
      <c r="F6" s="21" t="s">
        <v>53</v>
      </c>
      <c r="G6" s="22" t="s">
        <v>49</v>
      </c>
      <c r="H6" s="22" t="s">
        <v>30</v>
      </c>
      <c r="I6" s="26" t="s">
        <v>31</v>
      </c>
      <c r="K6" s="13"/>
      <c r="L6" s="13"/>
      <c r="M6" s="13"/>
      <c r="O6" s="20" t="s">
        <v>0</v>
      </c>
      <c r="P6" s="21" t="s">
        <v>53</v>
      </c>
      <c r="Q6" s="22" t="s">
        <v>54</v>
      </c>
      <c r="R6" s="22" t="s">
        <v>45</v>
      </c>
      <c r="S6" s="26" t="s">
        <v>46</v>
      </c>
    </row>
    <row r="7" spans="2:19" ht="20.149999999999999" customHeight="1" x14ac:dyDescent="0.35">
      <c r="B7" s="65" t="s">
        <v>38</v>
      </c>
      <c r="E7" s="2" t="s">
        <v>1</v>
      </c>
      <c r="F7" s="14">
        <f>IF(OR($C$6="oktober 2020",$C$6="november 2020",$C$6="december 2020",$C$6="januar 2021",$C$6="februar 2021",$C$6="marts 2021",$C$6="april 2021",$C$6="maj 2021",$C$6="juni 2021",$C$6="juli 2021",$C$6="august 2021",$C$6="september 2021",$C$6="oktober 2021",$C$6="november 2021",$C$6="december 2021"),0,5/12)</f>
        <v>0.41666666666666669</v>
      </c>
      <c r="G7" s="4">
        <f>F7</f>
        <v>0.41666666666666669</v>
      </c>
      <c r="H7" s="23"/>
      <c r="I7" s="11">
        <f>F7+H4</f>
        <v>0.41666666666666669</v>
      </c>
      <c r="O7" s="2" t="s">
        <v>1</v>
      </c>
      <c r="P7" s="14">
        <f>IF(OR($C$6="oktober 2020",$C$6="november 2020",$C$6="december 2020",$C$6="januar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7" s="4">
        <f>P7</f>
        <v>2.0833333333333335</v>
      </c>
      <c r="R7" s="23"/>
      <c r="S7" s="11">
        <f>P7+R4</f>
        <v>2.0833333333333335</v>
      </c>
    </row>
    <row r="8" spans="2:19" ht="20.149999999999999" customHeight="1" x14ac:dyDescent="0.35">
      <c r="B8" s="66"/>
      <c r="E8" s="2" t="s">
        <v>2</v>
      </c>
      <c r="F8" s="14">
        <f>IF(OR(C6="november 2020",C6="december 2020",C6="januar 2021",C6="februar 2021",C6="marts 2021",C6="april 2021",C6="maj 2021",C6="juni 2021",C6="juli 2021",C6="august 2021",C6="september 2021",C6="oktober 2021",C6="november P72021",C6="december 2021"),0,5/12)</f>
        <v>0.41666666666666669</v>
      </c>
      <c r="G8" s="5">
        <f>G7+F8</f>
        <v>0.83333333333333337</v>
      </c>
      <c r="H8" s="24"/>
      <c r="I8" s="11">
        <f>G8+$H$4-SUM(H7:H8)</f>
        <v>0.83333333333333337</v>
      </c>
      <c r="O8" s="2" t="s">
        <v>2</v>
      </c>
      <c r="P8" s="14">
        <f>IF(OR($C$6="november 2020",$C$6="december 2020",$C$6="januar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8" s="5">
        <f>Q7+P8</f>
        <v>4.166666666666667</v>
      </c>
      <c r="R8" s="24"/>
      <c r="S8" s="11">
        <f>Q8+$R$4-SUM($R$7:R8)</f>
        <v>4.166666666666667</v>
      </c>
    </row>
    <row r="9" spans="2:19" ht="20.149999999999999" customHeight="1" x14ac:dyDescent="0.35">
      <c r="B9" s="66"/>
      <c r="E9" s="2" t="s">
        <v>3</v>
      </c>
      <c r="F9" s="14">
        <f>IF(OR(C6="december 2020",C6="januar 2021",C6="februar 2021",C6="marts 2021",C6="april 2021",C6="maj 2021",C6="juni 2021",C6="juli 2021",C6="august 2021",C6="september 2021",C6="oktober 2021",C6="november 2021",C6="december 2021"),0,5/12)</f>
        <v>0.41666666666666669</v>
      </c>
      <c r="G9" s="5">
        <f t="shared" ref="G9:G22" si="0">G8+F9</f>
        <v>1.25</v>
      </c>
      <c r="H9" s="24"/>
      <c r="I9" s="11">
        <f>G9+$H$4-SUM(H7:H9)</f>
        <v>1.25</v>
      </c>
      <c r="O9" s="2" t="s">
        <v>3</v>
      </c>
      <c r="P9" s="14">
        <f>IF(OR($C$6="december 2020",$C$6="januar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9" s="5">
        <f t="shared" ref="Q9:Q22" si="1">Q8+P9</f>
        <v>6.25</v>
      </c>
      <c r="R9" s="24"/>
      <c r="S9" s="11">
        <f>Q9+$R$4-SUM($R$7:R9)</f>
        <v>6.25</v>
      </c>
    </row>
    <row r="10" spans="2:19" ht="20.149999999999999" customHeight="1" x14ac:dyDescent="0.35">
      <c r="B10" s="66"/>
      <c r="E10" s="2" t="s">
        <v>4</v>
      </c>
      <c r="F10" s="14">
        <f>IF(OR(C6="januar 2021",C6="februar 2021",C6="marts 2021",C6="april 2021",C6="maj 2021",C6="juni 2021",C6="juli 2021",C6="august 2021",C6="september 2021",C6="oktober 2021",C6="november 2021",C6="december 2021"),0,5/12)</f>
        <v>0.41666666666666669</v>
      </c>
      <c r="G10" s="5">
        <f t="shared" si="0"/>
        <v>1.6666666666666667</v>
      </c>
      <c r="H10" s="24"/>
      <c r="I10" s="11">
        <f>G10+$H$4-SUM(H7:H10)</f>
        <v>1.6666666666666667</v>
      </c>
      <c r="O10" s="2" t="s">
        <v>4</v>
      </c>
      <c r="P10" s="14">
        <f>IF(OR($C$6="januar 2021",$C$6="februar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10" s="5">
        <f t="shared" si="1"/>
        <v>8.3333333333333339</v>
      </c>
      <c r="R10" s="24"/>
      <c r="S10" s="11">
        <f>Q10+$R$4-SUM($R$7:R10)</f>
        <v>8.3333333333333339</v>
      </c>
    </row>
    <row r="11" spans="2:19" ht="20.149999999999999" customHeight="1" x14ac:dyDescent="0.35">
      <c r="B11" s="66"/>
      <c r="E11" s="2" t="s">
        <v>5</v>
      </c>
      <c r="F11" s="14">
        <f>IF(OR(C6="februar 2021",C6="marts 2021",C6="april 2021",C6="maj 2021",C6="juni 2021",C6="juli 2021",C6="august 2021",C6="september 2021",C6="oktober 2021",C6="november 2021",C6="december 2021"),0,5/12)</f>
        <v>0.41666666666666669</v>
      </c>
      <c r="G11" s="5">
        <f t="shared" si="0"/>
        <v>2.0833333333333335</v>
      </c>
      <c r="H11" s="24"/>
      <c r="I11" s="11">
        <f>G11+$H$4-SUM(H7:H11)</f>
        <v>2.0833333333333335</v>
      </c>
      <c r="O11" s="2" t="s">
        <v>5</v>
      </c>
      <c r="P11" s="14">
        <f>IF(OR($C$6="februar 2021",$C$6="marts 2021",$C$6="april 2021",$C$6="maj 2021",$C$6="juni 2021",$C$6="juli 2021",$C$6="august 2021",$C$6="september 2021",$C$6="oktober 2021",$C$6="november 2021",$C$6="december 2021"),0,25/12)</f>
        <v>2.0833333333333335</v>
      </c>
      <c r="Q11" s="5">
        <f t="shared" si="1"/>
        <v>10.416666666666668</v>
      </c>
      <c r="R11" s="24"/>
      <c r="S11" s="11">
        <f>Q11+$R$4-SUM($R$7:R11)</f>
        <v>10.416666666666668</v>
      </c>
    </row>
    <row r="12" spans="2:19" ht="20.149999999999999" customHeight="1" x14ac:dyDescent="0.35">
      <c r="E12" s="2" t="s">
        <v>6</v>
      </c>
      <c r="F12" s="14">
        <f>IF(OR(C6="marts 2021",C6="april 2021",C6="maj 2021",C6="juni 2021",C6="juli 2021",C6="august 2021",C6="september 2021",C6="oktober 2021",C6="november 2021",C6="december 2021"),0,5/12)</f>
        <v>0.41666666666666669</v>
      </c>
      <c r="G12" s="5">
        <f t="shared" si="0"/>
        <v>2.5</v>
      </c>
      <c r="H12" s="24"/>
      <c r="I12" s="11">
        <f>G12+$H$4-SUM(H7:H12)</f>
        <v>2.5</v>
      </c>
      <c r="O12" s="2" t="s">
        <v>6</v>
      </c>
      <c r="P12" s="14">
        <f>IF(OR($C$6="marts 2021",$C$6="april 2021",$C$6="maj 2021",$C$6="juni 2021",$C$6="juli 2021",$C$6="august 2021",$C$6="september 2021",$C$6="oktober 2021",$C$6="november 2021",$C$6="december 2021"),0,25/12)</f>
        <v>2.0833333333333335</v>
      </c>
      <c r="Q12" s="5">
        <f t="shared" si="1"/>
        <v>12.500000000000002</v>
      </c>
      <c r="R12" s="24"/>
      <c r="S12" s="11">
        <f>Q12+$R$4-SUM($R$7:R12)</f>
        <v>12.500000000000002</v>
      </c>
    </row>
    <row r="13" spans="2:19" ht="20.149999999999999" customHeight="1" x14ac:dyDescent="0.35">
      <c r="E13" s="2" t="s">
        <v>7</v>
      </c>
      <c r="F13" s="14">
        <f>IF(OR(C6="april 2021",C6="maj 2021",C6="juni 2021",C6="juli 2021",C6="august 2021",C6="september 2021",C6="oktober 2021",C6="november 2021",C6="december 2021"),0,5/12)</f>
        <v>0.41666666666666669</v>
      </c>
      <c r="G13" s="5">
        <f t="shared" si="0"/>
        <v>2.9166666666666665</v>
      </c>
      <c r="H13" s="24"/>
      <c r="I13" s="11">
        <f>G13+$H$4-SUM(H7:H13)</f>
        <v>2.9166666666666665</v>
      </c>
      <c r="O13" s="2" t="s">
        <v>7</v>
      </c>
      <c r="P13" s="14">
        <f>IF(OR($C$6="april 2021",$C$6="maj 2021",$C$6="juni 2021",$C$6="juli 2021",$C$6="august 2021",$C$6="september 2021",$C$6="oktober 2021",$C$6="november 2021",$C$6="december 2021"),0,25/12)</f>
        <v>2.0833333333333335</v>
      </c>
      <c r="Q13" s="5">
        <f t="shared" si="1"/>
        <v>14.583333333333336</v>
      </c>
      <c r="R13" s="24"/>
      <c r="S13" s="11">
        <f>Q13+$R$4-SUM($R$7:R13)</f>
        <v>14.583333333333336</v>
      </c>
    </row>
    <row r="14" spans="2:19" ht="20.149999999999999" customHeight="1" x14ac:dyDescent="0.35">
      <c r="E14" s="2" t="s">
        <v>8</v>
      </c>
      <c r="F14" s="14">
        <f>IF(OR(C6="maj 2021",C6="juni 2021",C6="juli 2021",C6="august 2021",C6="september 2021",C6="oktober 2021",C6="november 2021",C6="december 2021"),0,5/12)</f>
        <v>0.41666666666666669</v>
      </c>
      <c r="G14" s="5">
        <f t="shared" si="0"/>
        <v>3.333333333333333</v>
      </c>
      <c r="H14" s="24"/>
      <c r="I14" s="11">
        <f>G14+$H$4-SUM(H7:H14)</f>
        <v>3.333333333333333</v>
      </c>
      <c r="O14" s="2" t="s">
        <v>8</v>
      </c>
      <c r="P14" s="14">
        <f>IF(OR($C$6="maj 2021",$C$6="juni 2021",$C$6="juli 2021",$C$6="august 2021",$C$6="september 2021",$C$6="oktober 2021",$C$6="november 2021",$C$6="december 2021"),0,25/12)</f>
        <v>2.0833333333333335</v>
      </c>
      <c r="Q14" s="5">
        <f t="shared" si="1"/>
        <v>16.666666666666668</v>
      </c>
      <c r="R14" s="24"/>
      <c r="S14" s="11">
        <f>Q14+$R$4-SUM($R$7:R14)</f>
        <v>16.666666666666668</v>
      </c>
    </row>
    <row r="15" spans="2:19" ht="20.149999999999999" customHeight="1" x14ac:dyDescent="0.35">
      <c r="C15" s="36"/>
      <c r="E15" s="2" t="s">
        <v>9</v>
      </c>
      <c r="F15" s="14">
        <f>IF(OR(C6="juni 2021",C6="juli 2021",C6="august 2021",C6="september 2021",C6="oktober 2021",C6="november 2021",C6="december 2021"),0,5/12)</f>
        <v>0.41666666666666669</v>
      </c>
      <c r="G15" s="5">
        <f t="shared" si="0"/>
        <v>3.7499999999999996</v>
      </c>
      <c r="H15" s="24"/>
      <c r="I15" s="11">
        <f>G15+$H$4-SUM(H7:H15)</f>
        <v>3.7499999999999996</v>
      </c>
      <c r="O15" s="2" t="s">
        <v>9</v>
      </c>
      <c r="P15" s="14">
        <f>IF(OR($C$6="juni 2021",$C$6="juli 2021",$C$6="august 2021",$C$6="september 2021",$C$6="oktober 2021",$C$6="november 2021",$C$6="december 2021"),0,25/12)</f>
        <v>2.0833333333333335</v>
      </c>
      <c r="Q15" s="5">
        <f t="shared" si="1"/>
        <v>18.75</v>
      </c>
      <c r="R15" s="24"/>
      <c r="S15" s="11">
        <f>Q15+$R$4-SUM($R$7:R15)</f>
        <v>18.75</v>
      </c>
    </row>
    <row r="16" spans="2:19" ht="20.149999999999999" customHeight="1" x14ac:dyDescent="0.35">
      <c r="E16" s="2" t="s">
        <v>10</v>
      </c>
      <c r="F16" s="14">
        <f>IF(OR(C6="juli 2021",C6="august 2021",C6="september 2021",C6="oktober 2021",C6="november 2021",C6="december 2021"),0,5/12)</f>
        <v>0.41666666666666669</v>
      </c>
      <c r="G16" s="5">
        <f t="shared" si="0"/>
        <v>4.1666666666666661</v>
      </c>
      <c r="H16" s="24"/>
      <c r="I16" s="11">
        <f>G16+$H$4-SUM(H7:H16)</f>
        <v>4.1666666666666661</v>
      </c>
      <c r="O16" s="2" t="s">
        <v>10</v>
      </c>
      <c r="P16" s="14">
        <f>IF(OR($C$6="juli 2021",$C$6="august 2021",$C$6="september 2021",$C$6="oktober 2021",$C$6="november 2021",$C$6="december 2021"),0,25/12)</f>
        <v>2.0833333333333335</v>
      </c>
      <c r="Q16" s="5">
        <f t="shared" si="1"/>
        <v>20.833333333333332</v>
      </c>
      <c r="R16" s="24"/>
      <c r="S16" s="11">
        <f>Q16+$R$4-SUM($R$7:R16)</f>
        <v>20.833333333333332</v>
      </c>
    </row>
    <row r="17" spans="3:23" ht="20.149999999999999" customHeight="1" x14ac:dyDescent="0.35">
      <c r="E17" s="2" t="s">
        <v>11</v>
      </c>
      <c r="F17" s="14">
        <f>IF(OR(C6="august 2021",C6="september 2021",C6="oktober 2021",C6="november 2021",C6="december 2021"),0,5/12)</f>
        <v>0.41666666666666669</v>
      </c>
      <c r="G17" s="5">
        <f t="shared" si="0"/>
        <v>4.583333333333333</v>
      </c>
      <c r="H17" s="24"/>
      <c r="I17" s="11">
        <f>G17+$H$4-SUM(H7:H17)</f>
        <v>4.583333333333333</v>
      </c>
      <c r="O17" s="2" t="s">
        <v>11</v>
      </c>
      <c r="P17" s="14">
        <f>IF(OR($C$6="august 2021",$C$6="september 2021",$C$6="oktober 2021",$C$6="november 2021",$C$6="december 2021"),0,25/12)</f>
        <v>2.0833333333333335</v>
      </c>
      <c r="Q17" s="5">
        <f t="shared" si="1"/>
        <v>22.916666666666664</v>
      </c>
      <c r="R17" s="24"/>
      <c r="S17" s="11">
        <f>Q17+$R$4-SUM($R$7:R17)</f>
        <v>22.916666666666664</v>
      </c>
    </row>
    <row r="18" spans="3:23" ht="20.149999999999999" customHeight="1" x14ac:dyDescent="0.35">
      <c r="E18" s="2" t="s">
        <v>12</v>
      </c>
      <c r="F18" s="14">
        <f>IF(OR(C6="september 2021",C6="oktober 2021",C6="november 2021",C6="december 2021"),0,5/12)</f>
        <v>0.41666666666666669</v>
      </c>
      <c r="G18" s="5">
        <f t="shared" si="0"/>
        <v>5</v>
      </c>
      <c r="H18" s="24"/>
      <c r="I18" s="11">
        <f>G18+$H$4-SUM(H7:H18)</f>
        <v>5</v>
      </c>
      <c r="O18" s="2" t="s">
        <v>12</v>
      </c>
      <c r="P18" s="14">
        <f>IF(OR($C$6="september 2021",$C$6="oktober 2021",$C$6="november 2021",$C$6="december 2021"),0,25/12)</f>
        <v>2.0833333333333335</v>
      </c>
      <c r="Q18" s="5">
        <f t="shared" si="1"/>
        <v>24.999999999999996</v>
      </c>
      <c r="R18" s="24" t="s">
        <v>41</v>
      </c>
      <c r="S18" s="11">
        <f>Q18+$R$4-SUM($R$7:R18)</f>
        <v>24.999999999999996</v>
      </c>
    </row>
    <row r="19" spans="3:23" ht="20.149999999999999" customHeight="1" x14ac:dyDescent="0.35">
      <c r="E19" s="2" t="s">
        <v>13</v>
      </c>
      <c r="F19" s="14">
        <v>0</v>
      </c>
      <c r="G19" s="5">
        <f t="shared" si="0"/>
        <v>5</v>
      </c>
      <c r="H19" s="24"/>
      <c r="I19" s="11">
        <f>G19+$H$4-SUM(H6:H19)</f>
        <v>5</v>
      </c>
      <c r="K19" s="13"/>
      <c r="L19" s="13"/>
      <c r="M19" s="13"/>
      <c r="O19" s="2" t="s">
        <v>13</v>
      </c>
      <c r="P19" s="14">
        <v>0</v>
      </c>
      <c r="Q19" s="5">
        <f t="shared" si="1"/>
        <v>24.999999999999996</v>
      </c>
      <c r="R19" s="24"/>
      <c r="S19" s="11">
        <f>Q19+$R$4-SUM($R$7:R19)</f>
        <v>24.999999999999996</v>
      </c>
    </row>
    <row r="20" spans="3:23" ht="20.149999999999999" customHeight="1" x14ac:dyDescent="0.35">
      <c r="C20" s="35"/>
      <c r="E20" s="2" t="s">
        <v>14</v>
      </c>
      <c r="F20" s="14">
        <v>0</v>
      </c>
      <c r="G20" s="5">
        <f t="shared" si="0"/>
        <v>5</v>
      </c>
      <c r="H20" s="24"/>
      <c r="I20" s="11">
        <f>G20+$H$4-SUM(H7:H20)</f>
        <v>5</v>
      </c>
      <c r="K20" s="70" t="str">
        <f>IF($I$22&gt;0,"OBS: Er der uafholdte feriefridage pr. 31. december 2021, skal de udbetales sammen med lønnen i januar 2022, medmindre de aftales overført."," ")</f>
        <v>OBS: Er der uafholdte feriefridage pr. 31. december 2021, skal de udbetales sammen med lønnen i januar 2022, medmindre de aftales overført.</v>
      </c>
      <c r="L20" s="70"/>
      <c r="M20" s="70"/>
      <c r="O20" s="2" t="s">
        <v>14</v>
      </c>
      <c r="P20" s="14">
        <v>0</v>
      </c>
      <c r="Q20" s="5">
        <f t="shared" si="1"/>
        <v>24.999999999999996</v>
      </c>
      <c r="R20" s="24"/>
      <c r="S20" s="11">
        <f>Q20+$R$4-SUM($R$7:R20)</f>
        <v>24.999999999999996</v>
      </c>
      <c r="U20" s="70" t="str">
        <f>IF($S$22&gt;0,"OBS: Er der uafholdte feriedage udover 20 dage pr. 31. december 2021, skal de udbetales senest 31. marts 2022, medmindre de aftales overført."," ")</f>
        <v>OBS: Er der uafholdte feriedage udover 20 dage pr. 31. december 2021, skal de udbetales senest 31. marts 2022, medmindre de aftales overført.</v>
      </c>
      <c r="V20" s="70"/>
      <c r="W20" s="70"/>
    </row>
    <row r="21" spans="3:23" ht="20.149999999999999" customHeight="1" x14ac:dyDescent="0.35">
      <c r="E21" s="2" t="s">
        <v>15</v>
      </c>
      <c r="F21" s="14">
        <v>0</v>
      </c>
      <c r="G21" s="5">
        <f t="shared" si="0"/>
        <v>5</v>
      </c>
      <c r="H21" s="24"/>
      <c r="I21" s="11">
        <f>G21+$H$4-SUM(H7:H21)</f>
        <v>5</v>
      </c>
      <c r="K21" s="70"/>
      <c r="L21" s="70"/>
      <c r="M21" s="70"/>
      <c r="O21" s="2" t="s">
        <v>15</v>
      </c>
      <c r="P21" s="14">
        <v>0</v>
      </c>
      <c r="Q21" s="5">
        <f t="shared" si="1"/>
        <v>24.999999999999996</v>
      </c>
      <c r="R21" s="24"/>
      <c r="S21" s="11">
        <f>Q21+$R$4-SUM($R$7:R21)</f>
        <v>24.999999999999996</v>
      </c>
      <c r="U21" s="70"/>
      <c r="V21" s="70"/>
      <c r="W21" s="70"/>
    </row>
    <row r="22" spans="3:23" ht="20.149999999999999" customHeight="1" x14ac:dyDescent="0.35">
      <c r="E22" s="3" t="s">
        <v>16</v>
      </c>
      <c r="F22" s="15">
        <v>0</v>
      </c>
      <c r="G22" s="6">
        <f t="shared" si="0"/>
        <v>5</v>
      </c>
      <c r="H22" s="27"/>
      <c r="I22" s="12">
        <f>G22+$H$4-SUM(H7:H22)-H24-H25</f>
        <v>5</v>
      </c>
      <c r="K22" s="70"/>
      <c r="L22" s="70"/>
      <c r="M22" s="70"/>
      <c r="O22" s="3" t="s">
        <v>16</v>
      </c>
      <c r="P22" s="15">
        <v>0</v>
      </c>
      <c r="Q22" s="6">
        <f t="shared" si="1"/>
        <v>24.999999999999996</v>
      </c>
      <c r="R22" s="27"/>
      <c r="S22" s="40">
        <f>Q22+$R$4-SUM($R$7:R22)-R24-R25</f>
        <v>24.999999999999996</v>
      </c>
      <c r="U22" s="70"/>
      <c r="V22" s="70"/>
      <c r="W22" s="70"/>
    </row>
    <row r="23" spans="3:23" ht="8.25" customHeight="1" x14ac:dyDescent="0.35">
      <c r="E23" s="7"/>
      <c r="F23" s="7"/>
      <c r="G23" s="8"/>
      <c r="H23" s="10"/>
      <c r="I23" s="9"/>
      <c r="O23" s="7"/>
      <c r="P23" s="7"/>
      <c r="Q23" s="8"/>
      <c r="R23" s="10"/>
      <c r="S23" s="9"/>
    </row>
    <row r="24" spans="3:23" x14ac:dyDescent="0.35">
      <c r="G24" s="31" t="s">
        <v>35</v>
      </c>
      <c r="H24" s="23"/>
      <c r="O24" s="1"/>
      <c r="P24" s="1"/>
      <c r="Q24" s="31" t="s">
        <v>35</v>
      </c>
      <c r="R24" s="23"/>
    </row>
    <row r="25" spans="3:23" x14ac:dyDescent="0.35">
      <c r="G25" s="31" t="s">
        <v>36</v>
      </c>
      <c r="H25" s="27"/>
      <c r="I25" s="19">
        <f>SUM(I19:I22)</f>
        <v>20</v>
      </c>
      <c r="O25" s="1"/>
      <c r="P25" s="1"/>
      <c r="Q25" s="31" t="s">
        <v>36</v>
      </c>
      <c r="R25" s="27"/>
      <c r="S25" s="19">
        <f>SUM(S19:S22)</f>
        <v>99.999999999999986</v>
      </c>
    </row>
    <row r="26" spans="3:23" x14ac:dyDescent="0.35">
      <c r="O26" s="1"/>
      <c r="P26" s="1"/>
    </row>
    <row r="27" spans="3:23" ht="43.5" x14ac:dyDescent="0.35">
      <c r="G27" s="57" t="s">
        <v>52</v>
      </c>
      <c r="Q27" s="57" t="s">
        <v>55</v>
      </c>
    </row>
    <row r="28" spans="3:23" x14ac:dyDescent="0.35">
      <c r="G28" s="57"/>
    </row>
  </sheetData>
  <protectedRanges>
    <protectedRange sqref="H7:H25 R7:R25" name="Område1"/>
    <protectedRange sqref="H4 R4" name="Område2_2"/>
    <protectedRange sqref="C6" name="Område1_2_1"/>
  </protectedRanges>
  <mergeCells count="7">
    <mergeCell ref="B7:B11"/>
    <mergeCell ref="O2:S2"/>
    <mergeCell ref="O4:Q4"/>
    <mergeCell ref="U20:W22"/>
    <mergeCell ref="E2:I2"/>
    <mergeCell ref="E4:G4"/>
    <mergeCell ref="K20:M22"/>
  </mergeCells>
  <conditionalFormatting sqref="I7:I23">
    <cfRule type="cellIs" dxfId="25" priority="7" operator="greaterThanOrEqual">
      <formula>0</formula>
    </cfRule>
    <cfRule type="cellIs" dxfId="24" priority="8" operator="lessThan">
      <formula>0</formula>
    </cfRule>
  </conditionalFormatting>
  <conditionalFormatting sqref="S7:S23">
    <cfRule type="cellIs" dxfId="23" priority="1" operator="greaterThanOrEqual">
      <formula>0</formula>
    </cfRule>
    <cfRule type="cellIs" dxfId="22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I8 I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7EDD-22F7-41DA-A8EF-69A5CA60D9E1}">
  <dimension ref="B1:W28"/>
  <sheetViews>
    <sheetView zoomScale="70" zoomScaleNormal="70" zoomScaleSheetLayoutView="100" workbookViewId="0">
      <selection activeCell="K7" sqref="K7:M9"/>
    </sheetView>
  </sheetViews>
  <sheetFormatPr defaultRowHeight="14.5" x14ac:dyDescent="0.35"/>
  <cols>
    <col min="2" max="2" width="33" bestFit="1" customWidth="1"/>
    <col min="3" max="3" width="26.54296875" customWidth="1"/>
    <col min="4" max="4" width="5.453125" customWidth="1"/>
    <col min="5" max="5" width="17.26953125" style="1" bestFit="1" customWidth="1"/>
    <col min="6" max="6" width="26.26953125" style="1" customWidth="1"/>
    <col min="7" max="7" width="26.26953125" bestFit="1" customWidth="1"/>
    <col min="8" max="8" width="18.54296875" customWidth="1"/>
    <col min="9" max="9" width="13.81640625" customWidth="1"/>
    <col min="10" max="10" width="2.453125" customWidth="1"/>
    <col min="13" max="13" width="30.7265625" customWidth="1"/>
    <col min="14" max="14" width="21.453125" customWidth="1"/>
    <col min="15" max="16" width="15.453125" customWidth="1"/>
    <col min="17" max="17" width="26.26953125" bestFit="1" customWidth="1"/>
    <col min="18" max="18" width="18.54296875" customWidth="1"/>
    <col min="19" max="19" width="13.81640625" customWidth="1"/>
    <col min="20" max="20" width="2.453125" customWidth="1"/>
    <col min="23" max="23" width="30.81640625" customWidth="1"/>
  </cols>
  <sheetData>
    <row r="1" spans="2:23" x14ac:dyDescent="0.35">
      <c r="E1"/>
      <c r="F1"/>
    </row>
    <row r="2" spans="2:23" ht="17" x14ac:dyDescent="0.4">
      <c r="E2" s="67" t="s">
        <v>33</v>
      </c>
      <c r="F2" s="67"/>
      <c r="G2" s="67"/>
      <c r="H2" s="67"/>
      <c r="I2" s="67"/>
      <c r="O2" s="67" t="s">
        <v>47</v>
      </c>
      <c r="P2" s="67"/>
      <c r="Q2" s="67"/>
      <c r="R2" s="67"/>
      <c r="S2" s="67"/>
    </row>
    <row r="3" spans="2:23" ht="17" x14ac:dyDescent="0.4">
      <c r="E3"/>
      <c r="F3"/>
      <c r="O3" s="17"/>
      <c r="P3" s="17"/>
      <c r="Q3" s="17"/>
      <c r="R3" s="17"/>
      <c r="S3" s="17"/>
    </row>
    <row r="4" spans="2:23" ht="30.75" customHeight="1" x14ac:dyDescent="0.35">
      <c r="E4" s="68" t="s">
        <v>34</v>
      </c>
      <c r="F4" s="69"/>
      <c r="G4" s="69"/>
      <c r="H4" s="34">
        <f>'2020-2021'!H24</f>
        <v>0</v>
      </c>
      <c r="K4" s="16"/>
      <c r="L4" s="16"/>
      <c r="M4" s="16"/>
      <c r="O4" s="68" t="s">
        <v>48</v>
      </c>
      <c r="P4" s="69"/>
      <c r="Q4" s="71"/>
      <c r="R4" s="52">
        <f>'2020-2021'!R24</f>
        <v>0</v>
      </c>
    </row>
    <row r="5" spans="2:23" x14ac:dyDescent="0.35">
      <c r="E5"/>
      <c r="F5"/>
      <c r="K5" s="16"/>
      <c r="L5" s="16"/>
      <c r="M5" s="16"/>
      <c r="R5" s="51"/>
    </row>
    <row r="6" spans="2:23" ht="46.5" x14ac:dyDescent="0.35">
      <c r="B6" s="37" t="s">
        <v>39</v>
      </c>
      <c r="C6" s="53" t="s">
        <v>51</v>
      </c>
      <c r="E6" s="20" t="s">
        <v>0</v>
      </c>
      <c r="F6" s="21" t="s">
        <v>53</v>
      </c>
      <c r="G6" s="22" t="s">
        <v>49</v>
      </c>
      <c r="H6" s="22" t="s">
        <v>30</v>
      </c>
      <c r="I6" s="26" t="s">
        <v>31</v>
      </c>
      <c r="K6" s="16"/>
      <c r="L6" s="16"/>
      <c r="M6" s="16"/>
      <c r="O6" s="20" t="s">
        <v>0</v>
      </c>
      <c r="P6" s="21" t="s">
        <v>53</v>
      </c>
      <c r="Q6" s="22" t="s">
        <v>54</v>
      </c>
      <c r="R6" s="56" t="s">
        <v>45</v>
      </c>
      <c r="S6" s="26" t="s">
        <v>46</v>
      </c>
    </row>
    <row r="7" spans="2:23" ht="20.149999999999999" customHeight="1" x14ac:dyDescent="0.35">
      <c r="B7" s="65" t="s">
        <v>38</v>
      </c>
      <c r="E7" s="2" t="s">
        <v>13</v>
      </c>
      <c r="F7" s="14">
        <f>IF(OR($C$6="oktober 2021",$C$6="november 2021",$C$6="december 2021",$C$6="januar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7" s="4">
        <f>F7</f>
        <v>0.41666666666666669</v>
      </c>
      <c r="H7" s="29"/>
      <c r="I7" s="32">
        <f>F7+H4</f>
        <v>0.41666666666666669</v>
      </c>
      <c r="K7" s="70" t="str">
        <f>IF('2020-2021'!$I$22&gt;0,"Der er uafholdte feriefridage i perioden 1. september 2020 - 31. december 2021. Disse dage skal afholdes, overføres eller udbetales inden afholdelse af feriefridagene i denne periode."," ")</f>
        <v>Der er uafholdte feriefridage i perioden 1. september 2020 - 31. december 2021. Disse dage skal afholdes, overføres eller udbetales inden afholdelse af feriefridagene i denne periode.</v>
      </c>
      <c r="L7" s="70"/>
      <c r="M7" s="70"/>
      <c r="O7" s="2" t="s">
        <v>13</v>
      </c>
      <c r="P7" s="14">
        <f>IF(OR($C$6="oktober 2021",$C$6="november 2021",$C$6="december 2021",$C$6="januar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7" s="55">
        <f>P7</f>
        <v>2.0833333333333335</v>
      </c>
      <c r="R7" s="63"/>
      <c r="S7" s="11">
        <f>P7+R4</f>
        <v>2.0833333333333335</v>
      </c>
      <c r="U7" s="70" t="str">
        <f>IF('2020-2021'!$S$22&gt;0,"Der er uafholdte feriedage i perioden 1. september 2020 - 31. december 2021. Disse dage skal afholdes, overføres eller udbetales inden afholdelse af feriedagene i denne periode."," ")</f>
        <v>Der er uafholdte feriedage i perioden 1. september 2020 - 31. december 2021. Disse dage skal afholdes, overføres eller udbetales inden afholdelse af feriedagene i denne periode.</v>
      </c>
      <c r="V7" s="70"/>
      <c r="W7" s="70"/>
    </row>
    <row r="8" spans="2:23" ht="20.149999999999999" customHeight="1" x14ac:dyDescent="0.35">
      <c r="B8" s="66"/>
      <c r="E8" s="2" t="s">
        <v>14</v>
      </c>
      <c r="F8" s="14">
        <f>IF(OR($C$6="november 2021",$C$6="december 2021",$C$6="januar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8" s="5">
        <f>G7+F8</f>
        <v>0.83333333333333337</v>
      </c>
      <c r="H8" s="30"/>
      <c r="I8" s="32">
        <f>G8+$H$4-SUM(H7:H8)</f>
        <v>0.83333333333333337</v>
      </c>
      <c r="K8" s="70"/>
      <c r="L8" s="70"/>
      <c r="M8" s="70"/>
      <c r="O8" s="2" t="s">
        <v>14</v>
      </c>
      <c r="P8" s="14">
        <f>IF(OR($C$6="november 2021",$C$6="december 2021",$C$6="januar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8" s="14">
        <f>Q7+P8</f>
        <v>4.166666666666667</v>
      </c>
      <c r="R8" s="64"/>
      <c r="S8" s="11">
        <f>Q8+$R$4-SUM($R$7:R8)</f>
        <v>4.166666666666667</v>
      </c>
      <c r="U8" s="70"/>
      <c r="V8" s="70"/>
      <c r="W8" s="70"/>
    </row>
    <row r="9" spans="2:23" ht="20.149999999999999" customHeight="1" x14ac:dyDescent="0.35">
      <c r="B9" s="66"/>
      <c r="E9" s="2" t="s">
        <v>15</v>
      </c>
      <c r="F9" s="14">
        <f>IF(OR($C$6="december 2021",$C$6="januar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9" s="5">
        <f>G8+F9</f>
        <v>1.25</v>
      </c>
      <c r="H9" s="30"/>
      <c r="I9" s="32">
        <f>G9+$H$4-SUM(H7:H9)</f>
        <v>1.25</v>
      </c>
      <c r="K9" s="70"/>
      <c r="L9" s="70"/>
      <c r="M9" s="70"/>
      <c r="O9" s="2" t="s">
        <v>15</v>
      </c>
      <c r="P9" s="14">
        <f>IF(OR($C$6="december 2021",$C$6="januar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9" s="14">
        <f t="shared" ref="Q9:Q22" si="0">Q8+P9</f>
        <v>6.25</v>
      </c>
      <c r="R9" s="64"/>
      <c r="S9" s="11">
        <f>Q9+$R$4-SUM($R$7:R9)</f>
        <v>6.25</v>
      </c>
      <c r="U9" s="70"/>
      <c r="V9" s="70"/>
      <c r="W9" s="70"/>
    </row>
    <row r="10" spans="2:23" ht="20.149999999999999" customHeight="1" x14ac:dyDescent="0.35">
      <c r="B10" s="66"/>
      <c r="E10" s="18" t="s">
        <v>16</v>
      </c>
      <c r="F10" s="14">
        <f>IF(OR($C$6="januar 2022",$C$6="februar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10" s="5">
        <f t="shared" ref="G10:G11" si="1">G9+F10</f>
        <v>1.6666666666666667</v>
      </c>
      <c r="H10" s="30"/>
      <c r="I10" s="32">
        <f>G10+$H$4-SUM(H7:H10)</f>
        <v>1.6666666666666667</v>
      </c>
      <c r="O10" s="2" t="s">
        <v>16</v>
      </c>
      <c r="P10" s="14">
        <f>IF(OR($C$6="januar 2022",$C$6="februar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10" s="14">
        <f t="shared" si="0"/>
        <v>8.3333333333333339</v>
      </c>
      <c r="R10" s="64"/>
      <c r="S10" s="11">
        <f>Q10+$R$4-SUM($R$7:R10)</f>
        <v>8.3333333333333339</v>
      </c>
    </row>
    <row r="11" spans="2:23" ht="20.149999999999999" customHeight="1" x14ac:dyDescent="0.35">
      <c r="B11" s="66"/>
      <c r="E11" s="18" t="s">
        <v>17</v>
      </c>
      <c r="F11" s="14">
        <f>IF(OR($C$6="februar 2022",$C$6="marts 2022",$C$6="april 2022",$C$6="maj 2022",$C$6="juni 2022",$C$6="juli 2022",$C$6="august 2022",$C$6="september 2022",$C$6="oktober 2022",$C$6="november 2022",$C$6="december 2022"),0,5/12)</f>
        <v>0.41666666666666669</v>
      </c>
      <c r="G11" s="5">
        <f t="shared" si="1"/>
        <v>2.0833333333333335</v>
      </c>
      <c r="H11" s="24"/>
      <c r="I11" s="32">
        <f>G11+$H$4-SUM(H7:H11)</f>
        <v>2.0833333333333335</v>
      </c>
      <c r="O11" s="2" t="s">
        <v>17</v>
      </c>
      <c r="P11" s="14">
        <f>IF(OR($C$6="februar 2022",$C$6="marts 2022",$C$6="april 2022",$C$6="maj 2022",$C$6="juni 2022",$C$6="juli 2022",$C$6="august 2022",$C$6="september 2022",$C$6="oktober 2022",$C$6="november 2022",$C$6="december 2022"),0,25/12)</f>
        <v>2.0833333333333335</v>
      </c>
      <c r="Q11" s="5">
        <f t="shared" si="0"/>
        <v>10.416666666666668</v>
      </c>
      <c r="R11" s="24"/>
      <c r="S11" s="11">
        <f>Q11+$R$4-SUM($R$7:R11)</f>
        <v>10.416666666666668</v>
      </c>
    </row>
    <row r="12" spans="2:23" ht="20.149999999999999" customHeight="1" x14ac:dyDescent="0.35">
      <c r="E12" s="18" t="s">
        <v>18</v>
      </c>
      <c r="F12" s="14">
        <f>IF(OR($C$6="marts 2022",$C$6="april 2022",$C$6="maj 2022",$C$6="juni 2022",$C$6="juli 2022",$C$6="august 2022",$C$6="september 2022",$C$6="oktober 2022",$C$6="november 2022",$C$6="december 2022"),0,5/12)</f>
        <v>0.41666666666666669</v>
      </c>
      <c r="G12" s="5">
        <f>G11+F12</f>
        <v>2.5</v>
      </c>
      <c r="H12" s="24"/>
      <c r="I12" s="32">
        <f>G12+$H$4-SUM(H7:H12)</f>
        <v>2.5</v>
      </c>
      <c r="O12" s="2" t="s">
        <v>18</v>
      </c>
      <c r="P12" s="14">
        <f>IF(OR($C$6="marts 2022",$C$6="april 2022",$C$6="maj 2022",$C$6="juni 2022",$C$6="juli 2022",$C$6="august 2022",$C$6="september 2022",$C$6="oktober 2022",$C$6="november 2022",$C$6="december 2022"),0,25/12)</f>
        <v>2.0833333333333335</v>
      </c>
      <c r="Q12" s="5">
        <f t="shared" si="0"/>
        <v>12.500000000000002</v>
      </c>
      <c r="R12" s="24"/>
      <c r="S12" s="11">
        <f>Q12+$R$4-SUM($R$7:R12)</f>
        <v>12.500000000000002</v>
      </c>
    </row>
    <row r="13" spans="2:23" ht="20.149999999999999" customHeight="1" x14ac:dyDescent="0.35">
      <c r="E13" s="2" t="s">
        <v>19</v>
      </c>
      <c r="F13" s="14">
        <f>IF(OR($C$6="april 2022",$C$6="maj 2022",$C$6="juni 2022",$C$6="juli 2022",$C$6="august 2022",$C$6="september 2022",$C$6="oktober 2022",$C$6="november 2022",$C$6="december 2022"),0,5/12)</f>
        <v>0.41666666666666669</v>
      </c>
      <c r="G13" s="5">
        <f t="shared" ref="G13:G22" si="2">G12+F13</f>
        <v>2.9166666666666665</v>
      </c>
      <c r="H13" s="24"/>
      <c r="I13" s="32">
        <f>G13+$H$4-SUM(H7:H13)</f>
        <v>2.9166666666666665</v>
      </c>
      <c r="O13" s="2" t="s">
        <v>19</v>
      </c>
      <c r="P13" s="14">
        <f>IF(OR($C$6="april 2022",$C$6="maj 2022",$C$6="juni 2022",$C$6="juli 2022",$C$6="august 2022",$C$6="september 2022",$C$6="oktober 2022",$C$6="november 2022",$C$6="december 2022"),0,25/12)</f>
        <v>2.0833333333333335</v>
      </c>
      <c r="Q13" s="5">
        <f t="shared" si="0"/>
        <v>14.583333333333336</v>
      </c>
      <c r="R13" s="24"/>
      <c r="S13" s="11">
        <f>Q13+$R$4-SUM($R$7:R13)</f>
        <v>14.583333333333336</v>
      </c>
    </row>
    <row r="14" spans="2:23" ht="20.149999999999999" customHeight="1" x14ac:dyDescent="0.35">
      <c r="E14" s="2" t="s">
        <v>20</v>
      </c>
      <c r="F14" s="14">
        <f>IF(OR($C$6="maj 2022",$C$6="juni 2022",$C$6="juli 2022",$C$6="august 2022",$C$6="september 2022",$C$6="oktober 2022",$C$6="november 2022",$C$6="december 2022"),0,5/12)</f>
        <v>0.41666666666666669</v>
      </c>
      <c r="G14" s="5">
        <f t="shared" si="2"/>
        <v>3.333333333333333</v>
      </c>
      <c r="H14" s="24"/>
      <c r="I14" s="32">
        <f>G14+$H$4-SUM(H7:H14)</f>
        <v>3.333333333333333</v>
      </c>
      <c r="K14" s="16"/>
      <c r="O14" s="2" t="s">
        <v>20</v>
      </c>
      <c r="P14" s="14">
        <f>IF(OR($C$6="maj 2022",$C$6="juni 2022",$C$6="juli 2022",$C$6="august 2022",$C$6="september 2022",$C$6="oktober 2022",$C$6="november 2022",$C$6="december 2022"),0,25/12)</f>
        <v>2.0833333333333335</v>
      </c>
      <c r="Q14" s="5">
        <f t="shared" si="0"/>
        <v>16.666666666666668</v>
      </c>
      <c r="R14" s="24"/>
      <c r="S14" s="11">
        <f>Q14+$R$4-SUM($R$7:R14)</f>
        <v>16.666666666666668</v>
      </c>
    </row>
    <row r="15" spans="2:23" ht="20.149999999999999" customHeight="1" x14ac:dyDescent="0.35">
      <c r="E15" s="2" t="s">
        <v>21</v>
      </c>
      <c r="F15" s="14">
        <f>IF(OR($C$6="juni 2022",$C$6="juli 2022",$C$6="august 2022",$C$6="september 2022",$C$6="oktober 2022",$C$6="november 2022",$C$6="december 2022"),0,5/12)</f>
        <v>0.41666666666666669</v>
      </c>
      <c r="G15" s="5">
        <f t="shared" si="2"/>
        <v>3.7499999999999996</v>
      </c>
      <c r="H15" s="24"/>
      <c r="I15" s="32">
        <f>G15+$H$4-SUM(H7:H15)</f>
        <v>3.7499999999999996</v>
      </c>
      <c r="K15" s="16"/>
      <c r="O15" s="2" t="s">
        <v>21</v>
      </c>
      <c r="P15" s="14">
        <f>IF(OR($C$6="juni 2022",$C$6="juli 2022",$C$6="august 2022",$C$6="september 2022",$C$6="oktober 2022",$C$6="november 2022",$C$6="december 2022"),0,25/12)</f>
        <v>2.0833333333333335</v>
      </c>
      <c r="Q15" s="5">
        <f t="shared" si="0"/>
        <v>18.75</v>
      </c>
      <c r="R15" s="24"/>
      <c r="S15" s="11">
        <f>Q15+$R$4-SUM($R$7:R15)</f>
        <v>18.75</v>
      </c>
    </row>
    <row r="16" spans="2:23" ht="20.149999999999999" customHeight="1" x14ac:dyDescent="0.35">
      <c r="E16" s="2" t="s">
        <v>22</v>
      </c>
      <c r="F16" s="14">
        <f>IF(OR($C$6="juli 2022",$C$6="august 2022",$C$6="september 2022",$C$6="oktober 2022",$C$6="november 2022",$C$6="december 2022"),0,5/12)</f>
        <v>0.41666666666666669</v>
      </c>
      <c r="G16" s="5">
        <f t="shared" si="2"/>
        <v>4.1666666666666661</v>
      </c>
      <c r="H16" s="24"/>
      <c r="I16" s="32">
        <f>G16+$H$4-SUM(H7:H16)</f>
        <v>4.1666666666666661</v>
      </c>
      <c r="K16" s="16"/>
      <c r="O16" s="2" t="s">
        <v>22</v>
      </c>
      <c r="P16" s="14">
        <f>IF(OR($C$6="juli 2022",$C$6="august 2022",$C$6="september 2022",$C$6="oktober 2022",$C$6="november 2022",$C$6="december 2022"),0,25/12)</f>
        <v>2.0833333333333335</v>
      </c>
      <c r="Q16" s="5">
        <f t="shared" si="0"/>
        <v>20.833333333333332</v>
      </c>
      <c r="R16" s="24"/>
      <c r="S16" s="11">
        <f>Q16+$R$4-SUM($R$7:R16)</f>
        <v>20.833333333333332</v>
      </c>
    </row>
    <row r="17" spans="5:23" ht="20.149999999999999" customHeight="1" x14ac:dyDescent="0.35">
      <c r="E17" s="2" t="s">
        <v>23</v>
      </c>
      <c r="F17" s="14">
        <f>IF(OR($C$6="august 2022",$C$6="september 2022",$C$6="oktober 2022",$C$6="november 2022",$C$6="december 2022"),0,5/12)</f>
        <v>0.41666666666666669</v>
      </c>
      <c r="G17" s="5">
        <f t="shared" si="2"/>
        <v>4.583333333333333</v>
      </c>
      <c r="H17" s="24"/>
      <c r="I17" s="32">
        <f>G17+$H$4-SUM(H7:H17)</f>
        <v>4.583333333333333</v>
      </c>
      <c r="K17" s="16"/>
      <c r="O17" s="2" t="s">
        <v>23</v>
      </c>
      <c r="P17" s="14">
        <f>IF(OR($C$6="august 2022",$C$6="september 2022",$C$6="oktober 2022",$C$6="november 2022",$C$6="december 2022"),0,25/12)</f>
        <v>2.0833333333333335</v>
      </c>
      <c r="Q17" s="5">
        <f t="shared" si="0"/>
        <v>22.916666666666664</v>
      </c>
      <c r="R17" s="24"/>
      <c r="S17" s="11">
        <f>Q17+$R$4-SUM($R$7:R17)</f>
        <v>22.916666666666664</v>
      </c>
    </row>
    <row r="18" spans="5:23" ht="20.149999999999999" customHeight="1" x14ac:dyDescent="0.35">
      <c r="E18" s="2" t="s">
        <v>24</v>
      </c>
      <c r="F18" s="14">
        <f>IF(OR($C$6="september 2022",$C$6="oktober 2022",$C$6="november 2022",$C$6="december 2022"),0,5/12)</f>
        <v>0.41666666666666669</v>
      </c>
      <c r="G18" s="5">
        <f t="shared" si="2"/>
        <v>5</v>
      </c>
      <c r="H18" s="24"/>
      <c r="I18" s="32">
        <f>G18+$H$4-SUM(H7:H18)</f>
        <v>5</v>
      </c>
      <c r="K18" s="13"/>
      <c r="L18" s="13"/>
      <c r="M18" s="13"/>
      <c r="N18" s="13"/>
      <c r="O18" s="2" t="s">
        <v>24</v>
      </c>
      <c r="P18" s="14">
        <f>IF(OR($C$6="september 2022",$C$6="oktober 2022",$C$6="november 2022",$C$6="december 2022"),0,25/12)</f>
        <v>2.0833333333333335</v>
      </c>
      <c r="Q18" s="5">
        <f t="shared" si="0"/>
        <v>24.999999999999996</v>
      </c>
      <c r="R18" s="24"/>
      <c r="S18" s="11">
        <f>Q18+$R$4-SUM($R$7:R18)</f>
        <v>24.999999999999996</v>
      </c>
    </row>
    <row r="19" spans="5:23" ht="20.149999999999999" customHeight="1" x14ac:dyDescent="0.35">
      <c r="E19" s="2" t="s">
        <v>25</v>
      </c>
      <c r="F19" s="14">
        <v>0</v>
      </c>
      <c r="G19" s="5">
        <f t="shared" si="2"/>
        <v>5</v>
      </c>
      <c r="H19" s="24"/>
      <c r="I19" s="32">
        <f>G19+$H$4-SUM(H6:H19)</f>
        <v>5</v>
      </c>
      <c r="O19" s="2" t="s">
        <v>25</v>
      </c>
      <c r="P19" s="14">
        <v>0</v>
      </c>
      <c r="Q19" s="5">
        <f t="shared" si="0"/>
        <v>24.999999999999996</v>
      </c>
      <c r="R19" s="24"/>
      <c r="S19" s="11">
        <f>Q19+$R$4-SUM($R$7:R19)</f>
        <v>24.999999999999996</v>
      </c>
    </row>
    <row r="20" spans="5:23" ht="20.149999999999999" customHeight="1" x14ac:dyDescent="0.35">
      <c r="E20" s="2" t="s">
        <v>26</v>
      </c>
      <c r="F20" s="14">
        <v>0</v>
      </c>
      <c r="G20" s="5">
        <f t="shared" si="2"/>
        <v>5</v>
      </c>
      <c r="H20" s="24"/>
      <c r="I20" s="32">
        <f>G20+$H$4-SUM(H7:H20)</f>
        <v>5</v>
      </c>
      <c r="K20" s="70" t="str">
        <f>IF($I$22&gt;0,"OBS: Er der uafholdte feriefridage pr. 31. december 2022, skal de udbetales sammen med lønnen i januar 2023, medmindre de aftales overført."," ")</f>
        <v>OBS: Er der uafholdte feriefridage pr. 31. december 2022, skal de udbetales sammen med lønnen i januar 2023, medmindre de aftales overført.</v>
      </c>
      <c r="L20" s="70"/>
      <c r="M20" s="70"/>
      <c r="O20" s="2" t="s">
        <v>26</v>
      </c>
      <c r="P20" s="14">
        <v>0</v>
      </c>
      <c r="Q20" s="5">
        <f t="shared" si="0"/>
        <v>24.999999999999996</v>
      </c>
      <c r="R20" s="24"/>
      <c r="S20" s="11">
        <f>Q20+$R$4-SUM($R$7:R20)</f>
        <v>24.999999999999996</v>
      </c>
      <c r="U20" s="70" t="str">
        <f>IF($S$22&gt;0,"OBS: Er der uafholdte feriedage udover 20 dage pr. 31. december 2022, skal de udbetales senest 31. marts 2023, medmindre de aftales overført."," ")</f>
        <v>OBS: Er der uafholdte feriedage udover 20 dage pr. 31. december 2022, skal de udbetales senest 31. marts 2023, medmindre de aftales overført.</v>
      </c>
      <c r="V20" s="70"/>
      <c r="W20" s="70"/>
    </row>
    <row r="21" spans="5:23" ht="20.149999999999999" customHeight="1" x14ac:dyDescent="0.35">
      <c r="E21" s="2" t="s">
        <v>27</v>
      </c>
      <c r="F21" s="14">
        <v>0</v>
      </c>
      <c r="G21" s="5">
        <f t="shared" si="2"/>
        <v>5</v>
      </c>
      <c r="H21" s="24"/>
      <c r="I21" s="32">
        <f>G21+$H$4-SUM(H7:H21)</f>
        <v>5</v>
      </c>
      <c r="K21" s="70"/>
      <c r="L21" s="70"/>
      <c r="M21" s="70"/>
      <c r="O21" s="2" t="s">
        <v>27</v>
      </c>
      <c r="P21" s="14">
        <v>0</v>
      </c>
      <c r="Q21" s="5">
        <f t="shared" si="0"/>
        <v>24.999999999999996</v>
      </c>
      <c r="R21" s="24"/>
      <c r="S21" s="11">
        <f>Q21+$R$4-SUM($R$7:R21)</f>
        <v>24.999999999999996</v>
      </c>
      <c r="U21" s="70"/>
      <c r="V21" s="70"/>
      <c r="W21" s="70"/>
    </row>
    <row r="22" spans="5:23" ht="20.149999999999999" customHeight="1" x14ac:dyDescent="0.35">
      <c r="E22" s="3" t="s">
        <v>28</v>
      </c>
      <c r="F22" s="15">
        <v>0</v>
      </c>
      <c r="G22" s="6">
        <f t="shared" si="2"/>
        <v>5</v>
      </c>
      <c r="H22" s="25"/>
      <c r="I22" s="33">
        <f>G22+$H$4-SUM(H7:H22)-H24-H25</f>
        <v>5</v>
      </c>
      <c r="K22" s="70"/>
      <c r="L22" s="70"/>
      <c r="M22" s="70"/>
      <c r="O22" s="3" t="s">
        <v>28</v>
      </c>
      <c r="P22" s="15">
        <v>0</v>
      </c>
      <c r="Q22" s="6">
        <f t="shared" si="0"/>
        <v>24.999999999999996</v>
      </c>
      <c r="R22" s="27"/>
      <c r="S22" s="40">
        <f>Q22+$R$4-SUM($R$7:R22)-R24-R25</f>
        <v>24.999999999999996</v>
      </c>
      <c r="U22" s="70"/>
      <c r="V22" s="70"/>
      <c r="W22" s="70"/>
    </row>
    <row r="23" spans="5:23" ht="8.25" customHeight="1" x14ac:dyDescent="0.35">
      <c r="E23" s="7"/>
      <c r="F23" s="7"/>
      <c r="G23" s="8"/>
      <c r="H23" s="10"/>
      <c r="I23" s="9"/>
      <c r="O23" s="7"/>
      <c r="P23" s="7"/>
      <c r="Q23" s="8"/>
      <c r="R23" s="10" t="s">
        <v>41</v>
      </c>
      <c r="S23" s="9"/>
      <c r="U23" s="54"/>
      <c r="V23" s="54"/>
      <c r="W23" s="54"/>
    </row>
    <row r="24" spans="5:23" x14ac:dyDescent="0.35">
      <c r="G24" s="31" t="s">
        <v>35</v>
      </c>
      <c r="H24" s="23"/>
      <c r="O24" s="1"/>
      <c r="P24" s="1"/>
      <c r="Q24" s="31" t="s">
        <v>35</v>
      </c>
      <c r="R24" s="23"/>
      <c r="U24" s="54"/>
      <c r="V24" s="54"/>
      <c r="W24" s="54"/>
    </row>
    <row r="25" spans="5:23" ht="15" customHeight="1" x14ac:dyDescent="0.35">
      <c r="G25" s="31" t="s">
        <v>36</v>
      </c>
      <c r="H25" s="27"/>
      <c r="K25" s="28"/>
      <c r="L25" s="28"/>
      <c r="M25" s="28"/>
      <c r="O25" s="1"/>
      <c r="P25" s="1"/>
      <c r="Q25" s="31" t="s">
        <v>36</v>
      </c>
      <c r="R25" s="27"/>
      <c r="S25" s="19" t="s">
        <v>41</v>
      </c>
    </row>
    <row r="26" spans="5:23" x14ac:dyDescent="0.35">
      <c r="K26" s="28"/>
      <c r="L26" s="28"/>
      <c r="M26" s="28"/>
      <c r="O26" s="1"/>
      <c r="P26" s="1"/>
    </row>
    <row r="27" spans="5:23" ht="43.5" x14ac:dyDescent="0.35">
      <c r="G27" s="57" t="s">
        <v>52</v>
      </c>
      <c r="K27" s="28"/>
      <c r="L27" s="28"/>
      <c r="M27" s="28"/>
      <c r="O27" s="1"/>
      <c r="P27" s="1"/>
      <c r="Q27" s="57" t="s">
        <v>55</v>
      </c>
    </row>
    <row r="28" spans="5:23" x14ac:dyDescent="0.35">
      <c r="K28" s="28"/>
      <c r="L28" s="28"/>
      <c r="M28" s="28"/>
    </row>
  </sheetData>
  <protectedRanges>
    <protectedRange sqref="H4" name="Område2"/>
    <protectedRange sqref="H11:H23" name="Område1"/>
    <protectedRange sqref="H24:H25" name="Område1_1"/>
    <protectedRange sqref="R11:R25" name="Område1_3"/>
    <protectedRange sqref="C6" name="Område1_2_1_1"/>
  </protectedRanges>
  <mergeCells count="9">
    <mergeCell ref="B7:B11"/>
    <mergeCell ref="O2:S2"/>
    <mergeCell ref="O4:Q4"/>
    <mergeCell ref="U20:W22"/>
    <mergeCell ref="U7:W9"/>
    <mergeCell ref="K20:M22"/>
    <mergeCell ref="E2:I2"/>
    <mergeCell ref="E4:G4"/>
    <mergeCell ref="K7:M9"/>
  </mergeCells>
  <conditionalFormatting sqref="I7:I23">
    <cfRule type="cellIs" dxfId="21" priority="7" operator="greaterThanOrEqual">
      <formula>0</formula>
    </cfRule>
    <cfRule type="cellIs" dxfId="20" priority="8" operator="lessThan">
      <formula>0</formula>
    </cfRule>
  </conditionalFormatting>
  <conditionalFormatting sqref="S7:S25">
    <cfRule type="cellIs" dxfId="19" priority="1" operator="greaterThanOrEqual">
      <formula>0</formula>
    </cfRule>
    <cfRule type="cellIs" dxfId="1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216F-A609-48BA-927F-E60CFF20F448}">
  <dimension ref="B1:W31"/>
  <sheetViews>
    <sheetView zoomScale="85" zoomScaleNormal="85" zoomScaleSheetLayoutView="100" workbookViewId="0">
      <selection activeCell="E1" sqref="E1"/>
    </sheetView>
  </sheetViews>
  <sheetFormatPr defaultRowHeight="14.5" x14ac:dyDescent="0.35"/>
  <cols>
    <col min="2" max="2" width="33" bestFit="1" customWidth="1"/>
    <col min="3" max="3" width="26.54296875" customWidth="1"/>
    <col min="4" max="4" width="5.453125" customWidth="1"/>
    <col min="5" max="5" width="17.26953125" style="1" bestFit="1" customWidth="1"/>
    <col min="6" max="6" width="26.26953125" style="1" customWidth="1"/>
    <col min="7" max="7" width="26.81640625" customWidth="1"/>
    <col min="8" max="8" width="18.54296875" customWidth="1"/>
    <col min="9" max="9" width="13.81640625" customWidth="1"/>
    <col min="10" max="10" width="2.453125" customWidth="1"/>
    <col min="13" max="13" width="30.7265625" customWidth="1"/>
    <col min="14" max="14" width="21.453125" customWidth="1"/>
    <col min="15" max="16" width="15.453125" customWidth="1"/>
    <col min="17" max="17" width="25.54296875" customWidth="1"/>
    <col min="18" max="18" width="18.54296875" customWidth="1"/>
    <col min="19" max="19" width="13.81640625" customWidth="1"/>
    <col min="20" max="20" width="2.453125" customWidth="1"/>
    <col min="23" max="23" width="30.81640625" customWidth="1"/>
  </cols>
  <sheetData>
    <row r="1" spans="2:23" x14ac:dyDescent="0.35">
      <c r="E1"/>
      <c r="F1"/>
    </row>
    <row r="2" spans="2:23" ht="17" x14ac:dyDescent="0.4">
      <c r="E2" s="67" t="s">
        <v>56</v>
      </c>
      <c r="F2" s="67"/>
      <c r="G2" s="67"/>
      <c r="H2" s="67"/>
      <c r="I2" s="67"/>
      <c r="O2" s="67" t="s">
        <v>57</v>
      </c>
      <c r="P2" s="67"/>
      <c r="Q2" s="67"/>
      <c r="R2" s="67"/>
      <c r="S2" s="67"/>
    </row>
    <row r="3" spans="2:23" ht="17" x14ac:dyDescent="0.4">
      <c r="E3"/>
      <c r="F3"/>
      <c r="O3" s="17"/>
      <c r="P3" s="17"/>
      <c r="Q3" s="17"/>
      <c r="R3" s="17"/>
      <c r="S3" s="17"/>
    </row>
    <row r="4" spans="2:23" ht="30.75" customHeight="1" x14ac:dyDescent="0.35">
      <c r="E4" s="68" t="s">
        <v>58</v>
      </c>
      <c r="F4" s="69"/>
      <c r="G4" s="69"/>
      <c r="H4" s="34"/>
      <c r="K4" s="16"/>
      <c r="L4" s="16"/>
      <c r="M4" s="16"/>
      <c r="O4" s="68" t="s">
        <v>59</v>
      </c>
      <c r="P4" s="69"/>
      <c r="Q4" s="71"/>
      <c r="R4" s="52">
        <f>'2021-2022'!R24</f>
        <v>0</v>
      </c>
    </row>
    <row r="5" spans="2:23" x14ac:dyDescent="0.35">
      <c r="E5"/>
      <c r="F5"/>
      <c r="K5" s="16"/>
      <c r="L5" s="16"/>
      <c r="M5" s="16"/>
      <c r="R5" s="51"/>
    </row>
    <row r="6" spans="2:23" ht="46.5" x14ac:dyDescent="0.35">
      <c r="B6" s="37" t="s">
        <v>60</v>
      </c>
      <c r="C6" s="61">
        <v>44805</v>
      </c>
      <c r="E6" s="20" t="s">
        <v>0</v>
      </c>
      <c r="F6" s="21" t="s">
        <v>53</v>
      </c>
      <c r="G6" s="22" t="s">
        <v>49</v>
      </c>
      <c r="H6" s="22" t="s">
        <v>30</v>
      </c>
      <c r="I6" s="26" t="s">
        <v>31</v>
      </c>
      <c r="K6" s="16"/>
      <c r="L6" s="16"/>
      <c r="M6" s="16"/>
      <c r="O6" s="20" t="s">
        <v>0</v>
      </c>
      <c r="P6" s="21" t="s">
        <v>53</v>
      </c>
      <c r="Q6" s="22" t="s">
        <v>54</v>
      </c>
      <c r="R6" s="56" t="s">
        <v>45</v>
      </c>
      <c r="S6" s="26" t="s">
        <v>46</v>
      </c>
    </row>
    <row r="7" spans="2:23" ht="20.149999999999999" customHeight="1" x14ac:dyDescent="0.35">
      <c r="B7" s="72" t="s">
        <v>38</v>
      </c>
      <c r="C7" s="72"/>
      <c r="E7" s="59">
        <v>44805</v>
      </c>
      <c r="F7" s="14">
        <f>IF(E7&gt;($C$6-1),5/12,0)</f>
        <v>0.41666666666666669</v>
      </c>
      <c r="G7" s="4">
        <f>F7</f>
        <v>0.41666666666666669</v>
      </c>
      <c r="H7" s="63"/>
      <c r="I7" s="32">
        <f>F7+H4</f>
        <v>0.41666666666666669</v>
      </c>
      <c r="K7" s="70" t="str">
        <f>IF('2021-2022'!$I$22&gt;0,"Der er uafholdte feriefridage i perioden 1. september 2021 - 31. december 2022. Disse dage skal afholdes, overføres eller udbetales inden afholdelse af feriefridagene i denne periode."," ")</f>
        <v>Der er uafholdte feriefridage i perioden 1. september 2021 - 31. december 2022. Disse dage skal afholdes, overføres eller udbetales inden afholdelse af feriefridagene i denne periode.</v>
      </c>
      <c r="L7" s="70"/>
      <c r="M7" s="70"/>
      <c r="O7" s="59">
        <v>44805</v>
      </c>
      <c r="P7" s="14">
        <f>IF(O7&gt;($C$6-1),25/12,0)</f>
        <v>2.0833333333333335</v>
      </c>
      <c r="Q7" s="55">
        <f>P7</f>
        <v>2.0833333333333335</v>
      </c>
      <c r="R7" s="63"/>
      <c r="S7" s="11">
        <f>P7+R4</f>
        <v>2.0833333333333335</v>
      </c>
      <c r="U7" s="70" t="str">
        <f>IF('2021-2022'!$S$22&gt;0,"Der er uafholdte feriedage i perioden 1. september 2021 - 31. december 2022. Disse dage skal afholdes, overføres eller udbetales inden afholdelse af feriedagene i denne periode."," ")</f>
        <v>Der er uafholdte feriedage i perioden 1. september 2021 - 31. december 2022. Disse dage skal afholdes, overføres eller udbetales inden afholdelse af feriedagene i denne periode.</v>
      </c>
      <c r="V7" s="70"/>
      <c r="W7" s="70"/>
    </row>
    <row r="8" spans="2:23" ht="20.149999999999999" customHeight="1" x14ac:dyDescent="0.35">
      <c r="B8" s="72"/>
      <c r="C8" s="72"/>
      <c r="E8" s="59">
        <v>44835</v>
      </c>
      <c r="F8" s="14">
        <f t="shared" ref="F8:F18" si="0">IF(E8&gt;($C$6-1),5/12,0)</f>
        <v>0.41666666666666669</v>
      </c>
      <c r="G8" s="5">
        <f>G7+F8</f>
        <v>0.83333333333333337</v>
      </c>
      <c r="H8" s="64"/>
      <c r="I8" s="32">
        <f>G8+$H$4-SUM(H7:H8)</f>
        <v>0.83333333333333337</v>
      </c>
      <c r="K8" s="70"/>
      <c r="L8" s="70"/>
      <c r="M8" s="70"/>
      <c r="O8" s="59">
        <v>44835</v>
      </c>
      <c r="P8" s="14">
        <f t="shared" ref="P8:P18" si="1">IF(O8&gt;($C$6-1),25/12,0)</f>
        <v>2.0833333333333335</v>
      </c>
      <c r="Q8" s="14">
        <f>Q7+P8</f>
        <v>4.166666666666667</v>
      </c>
      <c r="R8" s="64"/>
      <c r="S8" s="11">
        <f>Q8+$R$4-SUM($R$7:R8)</f>
        <v>4.166666666666667</v>
      </c>
      <c r="U8" s="70"/>
      <c r="V8" s="70"/>
      <c r="W8" s="70"/>
    </row>
    <row r="9" spans="2:23" ht="20.149999999999999" customHeight="1" x14ac:dyDescent="0.35">
      <c r="B9" s="72"/>
      <c r="C9" s="72"/>
      <c r="E9" s="59">
        <v>44866</v>
      </c>
      <c r="F9" s="14">
        <f t="shared" si="0"/>
        <v>0.41666666666666669</v>
      </c>
      <c r="G9" s="5">
        <f>G8+F9</f>
        <v>1.25</v>
      </c>
      <c r="H9" s="64"/>
      <c r="I9" s="32">
        <f>G9+$H$4-SUM(H7:H9)</f>
        <v>1.25</v>
      </c>
      <c r="K9" s="70"/>
      <c r="L9" s="70"/>
      <c r="M9" s="70"/>
      <c r="O9" s="59">
        <v>44866</v>
      </c>
      <c r="P9" s="14">
        <f t="shared" si="1"/>
        <v>2.0833333333333335</v>
      </c>
      <c r="Q9" s="14">
        <f t="shared" ref="Q9:Q22" si="2">Q8+P9</f>
        <v>6.25</v>
      </c>
      <c r="R9" s="64"/>
      <c r="S9" s="11">
        <f>Q9+$R$4-SUM($R$7:R9)</f>
        <v>6.25</v>
      </c>
      <c r="U9" s="70"/>
      <c r="V9" s="70"/>
      <c r="W9" s="70"/>
    </row>
    <row r="10" spans="2:23" ht="20.149999999999999" customHeight="1" x14ac:dyDescent="0.35">
      <c r="B10" s="72"/>
      <c r="C10" s="72"/>
      <c r="E10" s="58">
        <v>44896</v>
      </c>
      <c r="F10" s="14">
        <f t="shared" si="0"/>
        <v>0.41666666666666669</v>
      </c>
      <c r="G10" s="5">
        <f t="shared" ref="G10:G11" si="3">G9+F10</f>
        <v>1.6666666666666667</v>
      </c>
      <c r="H10" s="64"/>
      <c r="I10" s="32">
        <f>G10+$H$4-SUM(H7:H10)</f>
        <v>1.6666666666666667</v>
      </c>
      <c r="O10" s="58">
        <v>44896</v>
      </c>
      <c r="P10" s="14">
        <f t="shared" si="1"/>
        <v>2.0833333333333335</v>
      </c>
      <c r="Q10" s="14">
        <f t="shared" si="2"/>
        <v>8.3333333333333339</v>
      </c>
      <c r="R10" s="64"/>
      <c r="S10" s="11">
        <f>Q10+$R$4-SUM($R$7:R10)</f>
        <v>8.3333333333333339</v>
      </c>
    </row>
    <row r="11" spans="2:23" ht="20.149999999999999" customHeight="1" x14ac:dyDescent="0.35">
      <c r="B11" s="72"/>
      <c r="C11" s="72"/>
      <c r="E11" s="58">
        <v>44927</v>
      </c>
      <c r="F11" s="14">
        <f t="shared" si="0"/>
        <v>0.41666666666666669</v>
      </c>
      <c r="G11" s="5">
        <f t="shared" si="3"/>
        <v>2.0833333333333335</v>
      </c>
      <c r="H11" s="24"/>
      <c r="I11" s="32">
        <f>G11+$H$4-SUM(H7:H11)</f>
        <v>2.0833333333333335</v>
      </c>
      <c r="O11" s="58">
        <v>44927</v>
      </c>
      <c r="P11" s="14">
        <f t="shared" si="1"/>
        <v>2.0833333333333335</v>
      </c>
      <c r="Q11" s="5">
        <f t="shared" si="2"/>
        <v>10.416666666666668</v>
      </c>
      <c r="R11" s="24"/>
      <c r="S11" s="11">
        <f>Q11+$R$4-SUM($R$7:R11)</f>
        <v>10.416666666666668</v>
      </c>
    </row>
    <row r="12" spans="2:23" ht="20.149999999999999" customHeight="1" x14ac:dyDescent="0.35">
      <c r="B12" s="72"/>
      <c r="C12" s="72"/>
      <c r="E12" s="58">
        <v>44958</v>
      </c>
      <c r="F12" s="14">
        <f t="shared" si="0"/>
        <v>0.41666666666666669</v>
      </c>
      <c r="G12" s="5">
        <f>G11+F12</f>
        <v>2.5</v>
      </c>
      <c r="H12" s="24"/>
      <c r="I12" s="32">
        <f>G12+$H$4-SUM(H7:H12)</f>
        <v>2.5</v>
      </c>
      <c r="O12" s="58">
        <v>44958</v>
      </c>
      <c r="P12" s="14">
        <f t="shared" si="1"/>
        <v>2.0833333333333335</v>
      </c>
      <c r="Q12" s="5">
        <f t="shared" si="2"/>
        <v>12.500000000000002</v>
      </c>
      <c r="R12" s="24"/>
      <c r="S12" s="11">
        <f>Q12+$R$4-SUM($R$7:R12)</f>
        <v>12.500000000000002</v>
      </c>
    </row>
    <row r="13" spans="2:23" ht="20.149999999999999" customHeight="1" x14ac:dyDescent="0.35">
      <c r="B13" s="72"/>
      <c r="C13" s="72"/>
      <c r="E13" s="59">
        <v>44986</v>
      </c>
      <c r="F13" s="14">
        <f t="shared" si="0"/>
        <v>0.41666666666666669</v>
      </c>
      <c r="G13" s="5">
        <f t="shared" ref="G13:G22" si="4">G12+F13</f>
        <v>2.9166666666666665</v>
      </c>
      <c r="H13" s="24"/>
      <c r="I13" s="32">
        <f>G13+$H$4-SUM(H7:H13)</f>
        <v>2.9166666666666665</v>
      </c>
      <c r="O13" s="59">
        <v>44986</v>
      </c>
      <c r="P13" s="14">
        <f t="shared" si="1"/>
        <v>2.0833333333333335</v>
      </c>
      <c r="Q13" s="5">
        <f t="shared" si="2"/>
        <v>14.583333333333336</v>
      </c>
      <c r="R13" s="24"/>
      <c r="S13" s="11">
        <f>Q13+$R$4-SUM($R$7:R13)</f>
        <v>14.583333333333336</v>
      </c>
    </row>
    <row r="14" spans="2:23" ht="20.149999999999999" customHeight="1" x14ac:dyDescent="0.35">
      <c r="E14" s="59">
        <v>45017</v>
      </c>
      <c r="F14" s="14">
        <f t="shared" si="0"/>
        <v>0.41666666666666669</v>
      </c>
      <c r="G14" s="5">
        <f t="shared" si="4"/>
        <v>3.333333333333333</v>
      </c>
      <c r="H14" s="24"/>
      <c r="I14" s="32">
        <f>G14+$H$4-SUM(H7:H14)</f>
        <v>3.333333333333333</v>
      </c>
      <c r="K14" s="16"/>
      <c r="O14" s="59">
        <v>45017</v>
      </c>
      <c r="P14" s="14">
        <f t="shared" si="1"/>
        <v>2.0833333333333335</v>
      </c>
      <c r="Q14" s="5">
        <f t="shared" si="2"/>
        <v>16.666666666666668</v>
      </c>
      <c r="R14" s="24"/>
      <c r="S14" s="11">
        <f>Q14+$R$4-SUM($R$7:R14)</f>
        <v>16.666666666666668</v>
      </c>
    </row>
    <row r="15" spans="2:23" ht="20.149999999999999" customHeight="1" x14ac:dyDescent="0.35">
      <c r="E15" s="59">
        <v>45047</v>
      </c>
      <c r="F15" s="14">
        <f t="shared" si="0"/>
        <v>0.41666666666666669</v>
      </c>
      <c r="G15" s="5">
        <f t="shared" si="4"/>
        <v>3.7499999999999996</v>
      </c>
      <c r="H15" s="24"/>
      <c r="I15" s="32">
        <f>G15+$H$4-SUM(H7:H15)</f>
        <v>3.7499999999999996</v>
      </c>
      <c r="K15" s="16"/>
      <c r="O15" s="59">
        <v>45047</v>
      </c>
      <c r="P15" s="14">
        <f t="shared" si="1"/>
        <v>2.0833333333333335</v>
      </c>
      <c r="Q15" s="5">
        <f t="shared" si="2"/>
        <v>18.75</v>
      </c>
      <c r="R15" s="24"/>
      <c r="S15" s="11">
        <f>Q15+$R$4-SUM($R$7:R15)</f>
        <v>18.75</v>
      </c>
    </row>
    <row r="16" spans="2:23" ht="20.149999999999999" customHeight="1" x14ac:dyDescent="0.35">
      <c r="E16" s="59">
        <v>45078</v>
      </c>
      <c r="F16" s="14">
        <f t="shared" si="0"/>
        <v>0.41666666666666669</v>
      </c>
      <c r="G16" s="5">
        <f t="shared" si="4"/>
        <v>4.1666666666666661</v>
      </c>
      <c r="H16" s="24"/>
      <c r="I16" s="32">
        <f>G16+$H$4-SUM(H7:H16)</f>
        <v>4.1666666666666661</v>
      </c>
      <c r="K16" s="16"/>
      <c r="O16" s="59">
        <v>45078</v>
      </c>
      <c r="P16" s="14">
        <f t="shared" si="1"/>
        <v>2.0833333333333335</v>
      </c>
      <c r="Q16" s="5">
        <f t="shared" si="2"/>
        <v>20.833333333333332</v>
      </c>
      <c r="R16" s="24"/>
      <c r="S16" s="11">
        <f>Q16+$R$4-SUM($R$7:R16)</f>
        <v>20.833333333333332</v>
      </c>
    </row>
    <row r="17" spans="2:23" ht="20.149999999999999" customHeight="1" x14ac:dyDescent="0.35">
      <c r="E17" s="59">
        <v>45108</v>
      </c>
      <c r="F17" s="14">
        <f t="shared" si="0"/>
        <v>0.41666666666666669</v>
      </c>
      <c r="G17" s="5">
        <f t="shared" si="4"/>
        <v>4.583333333333333</v>
      </c>
      <c r="H17" s="24"/>
      <c r="I17" s="32">
        <f>G17+$H$4-SUM(H7:H17)</f>
        <v>4.583333333333333</v>
      </c>
      <c r="K17" s="16"/>
      <c r="O17" s="59">
        <v>45108</v>
      </c>
      <c r="P17" s="14">
        <f t="shared" si="1"/>
        <v>2.0833333333333335</v>
      </c>
      <c r="Q17" s="5">
        <f t="shared" si="2"/>
        <v>22.916666666666664</v>
      </c>
      <c r="R17" s="24"/>
      <c r="S17" s="11">
        <f>Q17+$R$4-SUM($R$7:R17)</f>
        <v>22.916666666666664</v>
      </c>
    </row>
    <row r="18" spans="2:23" ht="20.149999999999999" customHeight="1" x14ac:dyDescent="0.35">
      <c r="E18" s="59">
        <v>45139</v>
      </c>
      <c r="F18" s="14">
        <f t="shared" si="0"/>
        <v>0.41666666666666669</v>
      </c>
      <c r="G18" s="5">
        <f t="shared" si="4"/>
        <v>5</v>
      </c>
      <c r="H18" s="24"/>
      <c r="I18" s="32">
        <f>G18+$H$4-SUM(H7:H18)</f>
        <v>5</v>
      </c>
      <c r="K18" s="13"/>
      <c r="L18" s="13"/>
      <c r="M18" s="13"/>
      <c r="N18" s="13"/>
      <c r="O18" s="59">
        <v>45139</v>
      </c>
      <c r="P18" s="14">
        <f t="shared" si="1"/>
        <v>2.0833333333333335</v>
      </c>
      <c r="Q18" s="5">
        <f t="shared" si="2"/>
        <v>24.999999999999996</v>
      </c>
      <c r="R18" s="24"/>
      <c r="S18" s="11">
        <f>Q18+$R$4-SUM($R$7:R18)</f>
        <v>24.999999999999996</v>
      </c>
    </row>
    <row r="19" spans="2:23" ht="20.149999999999999" customHeight="1" x14ac:dyDescent="0.35">
      <c r="E19" s="59">
        <v>45170</v>
      </c>
      <c r="F19" s="14">
        <v>0</v>
      </c>
      <c r="G19" s="5">
        <f t="shared" si="4"/>
        <v>5</v>
      </c>
      <c r="H19" s="24"/>
      <c r="I19" s="32">
        <f>G19+$H$4-SUM(H6:H19)</f>
        <v>5</v>
      </c>
      <c r="O19" s="59">
        <v>45170</v>
      </c>
      <c r="P19" s="14">
        <v>0</v>
      </c>
      <c r="Q19" s="5">
        <f t="shared" si="2"/>
        <v>24.999999999999996</v>
      </c>
      <c r="R19" s="24"/>
      <c r="S19" s="11">
        <f>Q19+$R$4-SUM($R$7:R19)</f>
        <v>24.999999999999996</v>
      </c>
    </row>
    <row r="20" spans="2:23" ht="20.149999999999999" customHeight="1" x14ac:dyDescent="0.35">
      <c r="E20" s="59">
        <v>45200</v>
      </c>
      <c r="F20" s="14">
        <v>0</v>
      </c>
      <c r="G20" s="5">
        <f t="shared" si="4"/>
        <v>5</v>
      </c>
      <c r="H20" s="24"/>
      <c r="I20" s="32">
        <f>G20+$H$4-SUM(H7:H20)</f>
        <v>5</v>
      </c>
      <c r="K20" s="70" t="str">
        <f>IF($I$22&gt;0,"OBS: Er der uafholdte feriefridage pr. 31. december 2023, skal de udbetales sammen med lønnen i januar 2024, medmindre de aftales overført."," ")</f>
        <v>OBS: Er der uafholdte feriefridage pr. 31. december 2023, skal de udbetales sammen med lønnen i januar 2024, medmindre de aftales overført.</v>
      </c>
      <c r="L20" s="70"/>
      <c r="M20" s="70"/>
      <c r="O20" s="59">
        <v>45200</v>
      </c>
      <c r="P20" s="14">
        <v>0</v>
      </c>
      <c r="Q20" s="5">
        <f t="shared" si="2"/>
        <v>24.999999999999996</v>
      </c>
      <c r="R20" s="24"/>
      <c r="S20" s="11">
        <f>Q20+$R$4-SUM($R$7:R20)</f>
        <v>24.999999999999996</v>
      </c>
      <c r="U20" s="70" t="str">
        <f>IF($S$22&gt;0,"OBS: Er der uafholdte feriedage udover 20 dage pr. 31. december 2023, skal de udbetales senest 31. marts 2024, medmindre de aftales overført."," ")</f>
        <v>OBS: Er der uafholdte feriedage udover 20 dage pr. 31. december 2023, skal de udbetales senest 31. marts 2024, medmindre de aftales overført.</v>
      </c>
      <c r="V20" s="70"/>
      <c r="W20" s="70"/>
    </row>
    <row r="21" spans="2:23" ht="20.149999999999999" customHeight="1" x14ac:dyDescent="0.35">
      <c r="E21" s="59">
        <v>45231</v>
      </c>
      <c r="F21" s="14">
        <v>0</v>
      </c>
      <c r="G21" s="5">
        <f t="shared" si="4"/>
        <v>5</v>
      </c>
      <c r="H21" s="24"/>
      <c r="I21" s="32">
        <f>G21+$H$4-SUM(H7:H21)</f>
        <v>5</v>
      </c>
      <c r="K21" s="70"/>
      <c r="L21" s="70"/>
      <c r="M21" s="70"/>
      <c r="O21" s="59">
        <v>45231</v>
      </c>
      <c r="P21" s="14">
        <v>0</v>
      </c>
      <c r="Q21" s="5">
        <f t="shared" si="2"/>
        <v>24.999999999999996</v>
      </c>
      <c r="R21" s="24"/>
      <c r="S21" s="11">
        <f>Q21+$R$4-SUM($R$7:R21)</f>
        <v>24.999999999999996</v>
      </c>
      <c r="U21" s="70"/>
      <c r="V21" s="70"/>
      <c r="W21" s="70"/>
    </row>
    <row r="22" spans="2:23" ht="20.149999999999999" customHeight="1" x14ac:dyDescent="0.35">
      <c r="E22" s="60">
        <v>45261</v>
      </c>
      <c r="F22" s="14">
        <v>0</v>
      </c>
      <c r="G22" s="6">
        <f t="shared" si="4"/>
        <v>5</v>
      </c>
      <c r="H22" s="25"/>
      <c r="I22" s="33">
        <f>G22+$H$4-SUM(H7:H22)-H24-H25</f>
        <v>5</v>
      </c>
      <c r="K22" s="70"/>
      <c r="L22" s="70"/>
      <c r="M22" s="70"/>
      <c r="O22" s="60">
        <v>45261</v>
      </c>
      <c r="P22" s="15">
        <v>0</v>
      </c>
      <c r="Q22" s="6">
        <f t="shared" si="2"/>
        <v>24.999999999999996</v>
      </c>
      <c r="R22" s="27"/>
      <c r="S22" s="40">
        <f>Q22+$R$4-SUM($R$7:R22)-R24-R25</f>
        <v>24.999999999999996</v>
      </c>
      <c r="U22" s="70"/>
      <c r="V22" s="70"/>
      <c r="W22" s="70"/>
    </row>
    <row r="23" spans="2:23" ht="8.25" customHeight="1" x14ac:dyDescent="0.35">
      <c r="E23" s="7"/>
      <c r="F23" s="7"/>
      <c r="G23" s="8"/>
      <c r="H23" s="10"/>
      <c r="I23" s="9"/>
      <c r="O23" s="7"/>
      <c r="P23" s="7"/>
      <c r="Q23" s="8"/>
      <c r="R23" s="10" t="s">
        <v>41</v>
      </c>
      <c r="S23" s="9"/>
      <c r="U23" s="54"/>
      <c r="V23" s="54"/>
      <c r="W23" s="54"/>
    </row>
    <row r="24" spans="2:23" x14ac:dyDescent="0.35">
      <c r="G24" s="31" t="s">
        <v>35</v>
      </c>
      <c r="H24" s="23"/>
      <c r="O24" s="1"/>
      <c r="P24" s="1"/>
      <c r="Q24" s="31" t="s">
        <v>35</v>
      </c>
      <c r="R24" s="23"/>
      <c r="U24" s="54"/>
      <c r="V24" s="54"/>
      <c r="W24" s="54"/>
    </row>
    <row r="25" spans="2:23" ht="15" customHeight="1" x14ac:dyDescent="0.35">
      <c r="G25" s="31" t="s">
        <v>36</v>
      </c>
      <c r="H25" s="27"/>
      <c r="K25" s="28"/>
      <c r="L25" s="28"/>
      <c r="M25" s="28"/>
      <c r="O25" s="1"/>
      <c r="P25" s="1"/>
      <c r="Q25" s="31" t="s">
        <v>36</v>
      </c>
      <c r="R25" s="27"/>
      <c r="S25" s="19" t="s">
        <v>41</v>
      </c>
    </row>
    <row r="26" spans="2:23" x14ac:dyDescent="0.35">
      <c r="K26" s="28"/>
      <c r="L26" s="28"/>
      <c r="M26" s="28"/>
      <c r="O26" s="1"/>
      <c r="P26" s="1"/>
    </row>
    <row r="27" spans="2:23" ht="43.5" x14ac:dyDescent="0.35">
      <c r="G27" s="57" t="s">
        <v>52</v>
      </c>
      <c r="K27" s="28"/>
      <c r="L27" s="28"/>
      <c r="M27" s="28"/>
      <c r="O27" s="1"/>
      <c r="P27" s="1"/>
      <c r="Q27" s="57" t="s">
        <v>55</v>
      </c>
    </row>
    <row r="28" spans="2:23" x14ac:dyDescent="0.35">
      <c r="K28" s="28"/>
      <c r="L28" s="28"/>
      <c r="M28" s="28"/>
    </row>
    <row r="31" spans="2:23" x14ac:dyDescent="0.35">
      <c r="B31" s="62"/>
    </row>
  </sheetData>
  <protectedRanges>
    <protectedRange sqref="H4" name="Område2"/>
    <protectedRange sqref="H11:H23" name="Område1"/>
    <protectedRange sqref="H24:H25" name="Område1_1"/>
    <protectedRange sqref="R11:R25" name="Område1_3"/>
    <protectedRange sqref="C6" name="Område1_2_1_1"/>
  </protectedRanges>
  <mergeCells count="9">
    <mergeCell ref="U7:W9"/>
    <mergeCell ref="K20:M22"/>
    <mergeCell ref="U20:W22"/>
    <mergeCell ref="B7:C13"/>
    <mergeCell ref="E2:I2"/>
    <mergeCell ref="O2:S2"/>
    <mergeCell ref="E4:G4"/>
    <mergeCell ref="O4:Q4"/>
    <mergeCell ref="K7:M9"/>
  </mergeCells>
  <phoneticPr fontId="11" type="noConversion"/>
  <conditionalFormatting sqref="I7:I23">
    <cfRule type="cellIs" dxfId="17" priority="7" operator="greaterThanOrEqual">
      <formula>0</formula>
    </cfRule>
    <cfRule type="cellIs" dxfId="16" priority="8" operator="lessThan">
      <formula>0</formula>
    </cfRule>
  </conditionalFormatting>
  <conditionalFormatting sqref="S7:S25">
    <cfRule type="cellIs" dxfId="15" priority="1" operator="greaterThanOrEqual">
      <formula>0</formula>
    </cfRule>
    <cfRule type="cellIs" dxfId="14" priority="2" operator="lessThan">
      <formula>0</formula>
    </cfRule>
  </conditionalFormatting>
  <dataValidations count="1">
    <dataValidation type="list" allowBlank="1" showInputMessage="1" showErrorMessage="1" sqref="C6" xr:uid="{801D827E-DC51-4BEC-BAEE-2E76D9B372A3}">
      <formula1>$E$7:$E$22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8F77-C669-49CD-8D75-B80E18626CB3}">
  <dimension ref="B1:W31"/>
  <sheetViews>
    <sheetView topLeftCell="G1" zoomScale="85" zoomScaleNormal="85" zoomScaleSheetLayoutView="100" workbookViewId="0">
      <selection activeCell="G35" sqref="G35"/>
    </sheetView>
  </sheetViews>
  <sheetFormatPr defaultRowHeight="14.5" x14ac:dyDescent="0.35"/>
  <cols>
    <col min="2" max="2" width="33" bestFit="1" customWidth="1"/>
    <col min="3" max="3" width="26.54296875" customWidth="1"/>
    <col min="4" max="4" width="5.453125" customWidth="1"/>
    <col min="5" max="5" width="17.26953125" style="1" bestFit="1" customWidth="1"/>
    <col min="6" max="6" width="26.26953125" style="1" customWidth="1"/>
    <col min="7" max="7" width="26.81640625" customWidth="1"/>
    <col min="8" max="8" width="18.54296875" customWidth="1"/>
    <col min="9" max="9" width="13.81640625" customWidth="1"/>
    <col min="10" max="10" width="2.453125" customWidth="1"/>
    <col min="13" max="13" width="30.7265625" customWidth="1"/>
    <col min="14" max="14" width="21.453125" customWidth="1"/>
    <col min="15" max="16" width="15.453125" customWidth="1"/>
    <col min="17" max="17" width="25.54296875" customWidth="1"/>
    <col min="18" max="18" width="18.54296875" customWidth="1"/>
    <col min="19" max="19" width="13.81640625" customWidth="1"/>
    <col min="20" max="20" width="2.453125" customWidth="1"/>
    <col min="23" max="23" width="30.81640625" customWidth="1"/>
  </cols>
  <sheetData>
    <row r="1" spans="2:23" x14ac:dyDescent="0.35">
      <c r="E1"/>
      <c r="F1"/>
    </row>
    <row r="2" spans="2:23" ht="17" x14ac:dyDescent="0.4">
      <c r="E2" s="67" t="s">
        <v>63</v>
      </c>
      <c r="F2" s="67"/>
      <c r="G2" s="67"/>
      <c r="H2" s="67"/>
      <c r="I2" s="67"/>
      <c r="O2" s="67" t="s">
        <v>64</v>
      </c>
      <c r="P2" s="67"/>
      <c r="Q2" s="67"/>
      <c r="R2" s="67"/>
      <c r="S2" s="67"/>
    </row>
    <row r="3" spans="2:23" ht="17" x14ac:dyDescent="0.4">
      <c r="E3"/>
      <c r="F3"/>
      <c r="O3" s="17"/>
      <c r="P3" s="17"/>
      <c r="Q3" s="17"/>
      <c r="R3" s="17"/>
      <c r="S3" s="17"/>
    </row>
    <row r="4" spans="2:23" ht="30.75" customHeight="1" x14ac:dyDescent="0.35">
      <c r="E4" s="68" t="s">
        <v>61</v>
      </c>
      <c r="F4" s="69"/>
      <c r="G4" s="69"/>
      <c r="H4" s="34">
        <f>'2022-2023'!H24</f>
        <v>0</v>
      </c>
      <c r="K4" s="16"/>
      <c r="L4" s="16"/>
      <c r="M4" s="16"/>
      <c r="O4" s="68" t="s">
        <v>62</v>
      </c>
      <c r="P4" s="69"/>
      <c r="Q4" s="71"/>
      <c r="R4" s="52">
        <f>'2022-2023'!R24</f>
        <v>0</v>
      </c>
    </row>
    <row r="5" spans="2:23" x14ac:dyDescent="0.35">
      <c r="E5"/>
      <c r="F5"/>
      <c r="K5" s="16"/>
      <c r="L5" s="16"/>
      <c r="M5" s="16"/>
      <c r="R5" s="51"/>
    </row>
    <row r="6" spans="2:23" ht="46.5" x14ac:dyDescent="0.35">
      <c r="B6" s="37" t="s">
        <v>65</v>
      </c>
      <c r="C6" s="61">
        <v>45170</v>
      </c>
      <c r="E6" s="20" t="s">
        <v>0</v>
      </c>
      <c r="F6" s="21" t="s">
        <v>53</v>
      </c>
      <c r="G6" s="22" t="s">
        <v>49</v>
      </c>
      <c r="H6" s="22" t="s">
        <v>30</v>
      </c>
      <c r="I6" s="26" t="s">
        <v>31</v>
      </c>
      <c r="K6" s="16"/>
      <c r="L6" s="16"/>
      <c r="M6" s="16"/>
      <c r="O6" s="20" t="s">
        <v>0</v>
      </c>
      <c r="P6" s="21" t="s">
        <v>53</v>
      </c>
      <c r="Q6" s="22" t="s">
        <v>54</v>
      </c>
      <c r="R6" s="56" t="s">
        <v>45</v>
      </c>
      <c r="S6" s="26" t="s">
        <v>46</v>
      </c>
    </row>
    <row r="7" spans="2:23" ht="20.149999999999999" customHeight="1" x14ac:dyDescent="0.35">
      <c r="B7" s="72" t="s">
        <v>38</v>
      </c>
      <c r="C7" s="72"/>
      <c r="E7" s="59">
        <v>45170</v>
      </c>
      <c r="F7" s="14">
        <f>IF(E7&gt;($C$6-1),5/12,0)</f>
        <v>0.41666666666666669</v>
      </c>
      <c r="G7" s="4">
        <f>F7</f>
        <v>0.41666666666666669</v>
      </c>
      <c r="H7" s="63"/>
      <c r="I7" s="32">
        <f>F7+H4</f>
        <v>0.41666666666666669</v>
      </c>
      <c r="K7" s="70" t="str">
        <f>IF('2021-2022'!$I$22&gt;0,"Der er uafholdte feriefridage i perioden 1. september 2022 - 31. december 2023. Disse dage skal afholdes, overføres eller udbetales inden afholdelse af feriefridagene i denne periode."," ")</f>
        <v>Der er uafholdte feriefridage i perioden 1. september 2022 - 31. december 2023. Disse dage skal afholdes, overføres eller udbetales inden afholdelse af feriefridagene i denne periode.</v>
      </c>
      <c r="L7" s="70"/>
      <c r="M7" s="70"/>
      <c r="O7" s="59">
        <v>45170</v>
      </c>
      <c r="P7" s="14">
        <f>IF(O7&gt;($C$6-1),25/12,0)</f>
        <v>2.0833333333333335</v>
      </c>
      <c r="Q7" s="55">
        <f>P7</f>
        <v>2.0833333333333335</v>
      </c>
      <c r="R7" s="63"/>
      <c r="S7" s="11">
        <f>P7+R4</f>
        <v>2.0833333333333335</v>
      </c>
      <c r="U7" s="70" t="str">
        <f>IF('2021-2022'!$S$22&gt;0,"Der er uafholdte feriedage i perioden 1. september 2022 - 31. december 2023. Disse dage skal afholdes, overføres eller udbetales inden afholdelse af feriedagene i denne periode."," ")</f>
        <v>Der er uafholdte feriedage i perioden 1. september 2022 - 31. december 2023. Disse dage skal afholdes, overføres eller udbetales inden afholdelse af feriedagene i denne periode.</v>
      </c>
      <c r="V7" s="70"/>
      <c r="W7" s="70"/>
    </row>
    <row r="8" spans="2:23" ht="20.149999999999999" customHeight="1" x14ac:dyDescent="0.35">
      <c r="B8" s="72"/>
      <c r="C8" s="72"/>
      <c r="E8" s="59">
        <v>45200</v>
      </c>
      <c r="F8" s="14">
        <f t="shared" ref="F8:F18" si="0">IF(E8&gt;($C$6-1),5/12,0)</f>
        <v>0.41666666666666669</v>
      </c>
      <c r="G8" s="5">
        <f>G7+F8</f>
        <v>0.83333333333333337</v>
      </c>
      <c r="H8" s="64"/>
      <c r="I8" s="32">
        <f>G8+$H$4-SUM(H7:H8)</f>
        <v>0.83333333333333337</v>
      </c>
      <c r="K8" s="70"/>
      <c r="L8" s="70"/>
      <c r="M8" s="70"/>
      <c r="O8" s="59">
        <v>45200</v>
      </c>
      <c r="P8" s="14">
        <f t="shared" ref="P8:P18" si="1">IF(O8&gt;($C$6-1),25/12,0)</f>
        <v>2.0833333333333335</v>
      </c>
      <c r="Q8" s="14">
        <f>Q7+P8</f>
        <v>4.166666666666667</v>
      </c>
      <c r="R8" s="64"/>
      <c r="S8" s="11">
        <f>Q8+$R$4-SUM($R$7:R8)</f>
        <v>4.166666666666667</v>
      </c>
      <c r="U8" s="70"/>
      <c r="V8" s="70"/>
      <c r="W8" s="70"/>
    </row>
    <row r="9" spans="2:23" ht="20.149999999999999" customHeight="1" x14ac:dyDescent="0.35">
      <c r="B9" s="72"/>
      <c r="C9" s="72"/>
      <c r="E9" s="59">
        <v>45231</v>
      </c>
      <c r="F9" s="14">
        <f t="shared" si="0"/>
        <v>0.41666666666666669</v>
      </c>
      <c r="G9" s="5">
        <f>G8+F9</f>
        <v>1.25</v>
      </c>
      <c r="H9" s="64"/>
      <c r="I9" s="32">
        <f>G9+$H$4-SUM(H7:H9)</f>
        <v>1.25</v>
      </c>
      <c r="K9" s="70"/>
      <c r="L9" s="70"/>
      <c r="M9" s="70"/>
      <c r="O9" s="59">
        <v>45231</v>
      </c>
      <c r="P9" s="14">
        <f t="shared" si="1"/>
        <v>2.0833333333333335</v>
      </c>
      <c r="Q9" s="14">
        <f t="shared" ref="Q9:Q22" si="2">Q8+P9</f>
        <v>6.25</v>
      </c>
      <c r="R9" s="64"/>
      <c r="S9" s="11">
        <f>Q9+$R$4-SUM($R$7:R9)</f>
        <v>6.25</v>
      </c>
      <c r="U9" s="70"/>
      <c r="V9" s="70"/>
      <c r="W9" s="70"/>
    </row>
    <row r="10" spans="2:23" ht="20.149999999999999" customHeight="1" x14ac:dyDescent="0.35">
      <c r="B10" s="72"/>
      <c r="C10" s="72"/>
      <c r="E10" s="59">
        <v>45261</v>
      </c>
      <c r="F10" s="14">
        <f t="shared" si="0"/>
        <v>0.41666666666666669</v>
      </c>
      <c r="G10" s="5">
        <f t="shared" ref="G10:G11" si="3">G9+F10</f>
        <v>1.6666666666666667</v>
      </c>
      <c r="H10" s="64"/>
      <c r="I10" s="32">
        <f>G10+$H$4-SUM(H7:H10)</f>
        <v>1.6666666666666667</v>
      </c>
      <c r="O10" s="59">
        <v>45261</v>
      </c>
      <c r="P10" s="14">
        <f t="shared" si="1"/>
        <v>2.0833333333333335</v>
      </c>
      <c r="Q10" s="14">
        <f t="shared" si="2"/>
        <v>8.3333333333333339</v>
      </c>
      <c r="R10" s="64"/>
      <c r="S10" s="11">
        <f>Q10+$R$4-SUM($R$7:R10)</f>
        <v>8.3333333333333339</v>
      </c>
    </row>
    <row r="11" spans="2:23" ht="20.149999999999999" customHeight="1" x14ac:dyDescent="0.35">
      <c r="B11" s="72"/>
      <c r="C11" s="72"/>
      <c r="E11" s="59">
        <v>45292</v>
      </c>
      <c r="F11" s="14">
        <f t="shared" si="0"/>
        <v>0.41666666666666669</v>
      </c>
      <c r="G11" s="5">
        <f t="shared" si="3"/>
        <v>2.0833333333333335</v>
      </c>
      <c r="H11" s="24"/>
      <c r="I11" s="32">
        <f>G11+$H$4-SUM(H7:H11)</f>
        <v>2.0833333333333335</v>
      </c>
      <c r="O11" s="59">
        <v>45292</v>
      </c>
      <c r="P11" s="14">
        <f t="shared" si="1"/>
        <v>2.0833333333333335</v>
      </c>
      <c r="Q11" s="5">
        <f t="shared" si="2"/>
        <v>10.416666666666668</v>
      </c>
      <c r="R11" s="24"/>
      <c r="S11" s="11">
        <f>Q11+$R$4-SUM($R$7:R11)</f>
        <v>10.416666666666668</v>
      </c>
    </row>
    <row r="12" spans="2:23" ht="20.149999999999999" customHeight="1" x14ac:dyDescent="0.35">
      <c r="B12" s="72"/>
      <c r="C12" s="72"/>
      <c r="E12" s="59">
        <v>45323</v>
      </c>
      <c r="F12" s="14">
        <f t="shared" si="0"/>
        <v>0.41666666666666669</v>
      </c>
      <c r="G12" s="5">
        <f>G11+F12</f>
        <v>2.5</v>
      </c>
      <c r="H12" s="24"/>
      <c r="I12" s="32">
        <f>G12+$H$4-SUM(H7:H12)</f>
        <v>2.5</v>
      </c>
      <c r="O12" s="59">
        <v>45323</v>
      </c>
      <c r="P12" s="14">
        <f t="shared" si="1"/>
        <v>2.0833333333333335</v>
      </c>
      <c r="Q12" s="5">
        <f t="shared" si="2"/>
        <v>12.500000000000002</v>
      </c>
      <c r="R12" s="24"/>
      <c r="S12" s="11">
        <f>Q12+$R$4-SUM($R$7:R12)</f>
        <v>12.500000000000002</v>
      </c>
    </row>
    <row r="13" spans="2:23" ht="20.149999999999999" customHeight="1" x14ac:dyDescent="0.35">
      <c r="B13" s="72"/>
      <c r="C13" s="72"/>
      <c r="E13" s="59">
        <v>45352</v>
      </c>
      <c r="F13" s="14">
        <f t="shared" si="0"/>
        <v>0.41666666666666669</v>
      </c>
      <c r="G13" s="5">
        <f t="shared" ref="G13:G22" si="4">G12+F13</f>
        <v>2.9166666666666665</v>
      </c>
      <c r="H13" s="24"/>
      <c r="I13" s="32">
        <f>G13+$H$4-SUM(H7:H13)</f>
        <v>2.9166666666666665</v>
      </c>
      <c r="O13" s="59">
        <v>45352</v>
      </c>
      <c r="P13" s="14">
        <f t="shared" si="1"/>
        <v>2.0833333333333335</v>
      </c>
      <c r="Q13" s="5">
        <f t="shared" si="2"/>
        <v>14.583333333333336</v>
      </c>
      <c r="R13" s="24"/>
      <c r="S13" s="11">
        <f>Q13+$R$4-SUM($R$7:R13)</f>
        <v>14.583333333333336</v>
      </c>
    </row>
    <row r="14" spans="2:23" ht="20.149999999999999" customHeight="1" x14ac:dyDescent="0.35">
      <c r="E14" s="59">
        <v>45383</v>
      </c>
      <c r="F14" s="14">
        <f t="shared" si="0"/>
        <v>0.41666666666666669</v>
      </c>
      <c r="G14" s="5">
        <f t="shared" si="4"/>
        <v>3.333333333333333</v>
      </c>
      <c r="H14" s="24"/>
      <c r="I14" s="32">
        <f>G14+$H$4-SUM(H7:H14)</f>
        <v>3.333333333333333</v>
      </c>
      <c r="K14" s="16"/>
      <c r="O14" s="59">
        <v>45383</v>
      </c>
      <c r="P14" s="14">
        <f t="shared" si="1"/>
        <v>2.0833333333333335</v>
      </c>
      <c r="Q14" s="5">
        <f t="shared" si="2"/>
        <v>16.666666666666668</v>
      </c>
      <c r="R14" s="24"/>
      <c r="S14" s="11">
        <f>Q14+$R$4-SUM($R$7:R14)</f>
        <v>16.666666666666668</v>
      </c>
    </row>
    <row r="15" spans="2:23" ht="20.149999999999999" customHeight="1" x14ac:dyDescent="0.35">
      <c r="E15" s="59">
        <v>45413</v>
      </c>
      <c r="F15" s="14">
        <f t="shared" si="0"/>
        <v>0.41666666666666669</v>
      </c>
      <c r="G15" s="5">
        <f t="shared" si="4"/>
        <v>3.7499999999999996</v>
      </c>
      <c r="H15" s="24"/>
      <c r="I15" s="32">
        <f>G15+$H$4-SUM(H7:H15)</f>
        <v>3.7499999999999996</v>
      </c>
      <c r="K15" s="16"/>
      <c r="O15" s="59">
        <v>45413</v>
      </c>
      <c r="P15" s="14">
        <f t="shared" si="1"/>
        <v>2.0833333333333335</v>
      </c>
      <c r="Q15" s="5">
        <f t="shared" si="2"/>
        <v>18.75</v>
      </c>
      <c r="R15" s="24"/>
      <c r="S15" s="11">
        <f>Q15+$R$4-SUM($R$7:R15)</f>
        <v>18.75</v>
      </c>
    </row>
    <row r="16" spans="2:23" ht="20.149999999999999" customHeight="1" x14ac:dyDescent="0.35">
      <c r="E16" s="59">
        <v>45444</v>
      </c>
      <c r="F16" s="14">
        <f t="shared" si="0"/>
        <v>0.41666666666666669</v>
      </c>
      <c r="G16" s="5">
        <f t="shared" si="4"/>
        <v>4.1666666666666661</v>
      </c>
      <c r="H16" s="24"/>
      <c r="I16" s="32">
        <f>G16+$H$4-SUM(H7:H16)</f>
        <v>4.1666666666666661</v>
      </c>
      <c r="K16" s="16"/>
      <c r="O16" s="59">
        <v>45444</v>
      </c>
      <c r="P16" s="14">
        <f t="shared" si="1"/>
        <v>2.0833333333333335</v>
      </c>
      <c r="Q16" s="5">
        <f t="shared" si="2"/>
        <v>20.833333333333332</v>
      </c>
      <c r="R16" s="24"/>
      <c r="S16" s="11">
        <f>Q16+$R$4-SUM($R$7:R16)</f>
        <v>20.833333333333332</v>
      </c>
    </row>
    <row r="17" spans="2:23" ht="20.149999999999999" customHeight="1" x14ac:dyDescent="0.35">
      <c r="E17" s="59">
        <v>45474</v>
      </c>
      <c r="F17" s="14">
        <f t="shared" si="0"/>
        <v>0.41666666666666669</v>
      </c>
      <c r="G17" s="5">
        <f t="shared" si="4"/>
        <v>4.583333333333333</v>
      </c>
      <c r="H17" s="24"/>
      <c r="I17" s="32">
        <f>G17+$H$4-SUM(H7:H17)</f>
        <v>4.583333333333333</v>
      </c>
      <c r="K17" s="16"/>
      <c r="O17" s="59">
        <v>45474</v>
      </c>
      <c r="P17" s="14">
        <f t="shared" si="1"/>
        <v>2.0833333333333335</v>
      </c>
      <c r="Q17" s="5">
        <f t="shared" si="2"/>
        <v>22.916666666666664</v>
      </c>
      <c r="R17" s="24"/>
      <c r="S17" s="11">
        <f>Q17+$R$4-SUM($R$7:R17)</f>
        <v>22.916666666666664</v>
      </c>
    </row>
    <row r="18" spans="2:23" ht="20.149999999999999" customHeight="1" x14ac:dyDescent="0.35">
      <c r="E18" s="59">
        <v>45505</v>
      </c>
      <c r="F18" s="14">
        <f t="shared" si="0"/>
        <v>0.41666666666666669</v>
      </c>
      <c r="G18" s="5">
        <f t="shared" si="4"/>
        <v>5</v>
      </c>
      <c r="H18" s="24"/>
      <c r="I18" s="32">
        <f>G18+$H$4-SUM(H7:H18)</f>
        <v>5</v>
      </c>
      <c r="K18" s="13"/>
      <c r="L18" s="13"/>
      <c r="M18" s="13"/>
      <c r="N18" s="13"/>
      <c r="O18" s="59">
        <v>45505</v>
      </c>
      <c r="P18" s="14">
        <f t="shared" si="1"/>
        <v>2.0833333333333335</v>
      </c>
      <c r="Q18" s="5">
        <f t="shared" si="2"/>
        <v>24.999999999999996</v>
      </c>
      <c r="R18" s="24"/>
      <c r="S18" s="11">
        <f>Q18+$R$4-SUM($R$7:R18)</f>
        <v>24.999999999999996</v>
      </c>
    </row>
    <row r="19" spans="2:23" ht="20.149999999999999" customHeight="1" x14ac:dyDescent="0.35">
      <c r="E19" s="59">
        <v>45536</v>
      </c>
      <c r="F19" s="14">
        <v>0</v>
      </c>
      <c r="G19" s="5">
        <f t="shared" si="4"/>
        <v>5</v>
      </c>
      <c r="H19" s="24"/>
      <c r="I19" s="32">
        <f>G19+$H$4-SUM(H6:H19)</f>
        <v>5</v>
      </c>
      <c r="O19" s="59">
        <v>45536</v>
      </c>
      <c r="P19" s="14">
        <v>0</v>
      </c>
      <c r="Q19" s="5">
        <f t="shared" si="2"/>
        <v>24.999999999999996</v>
      </c>
      <c r="R19" s="24"/>
      <c r="S19" s="11">
        <f>Q19+$R$4-SUM($R$7:R19)</f>
        <v>24.999999999999996</v>
      </c>
    </row>
    <row r="20" spans="2:23" ht="20.149999999999999" customHeight="1" x14ac:dyDescent="0.35">
      <c r="E20" s="59">
        <v>45566</v>
      </c>
      <c r="F20" s="14">
        <v>0</v>
      </c>
      <c r="G20" s="5">
        <f t="shared" si="4"/>
        <v>5</v>
      </c>
      <c r="H20" s="24"/>
      <c r="I20" s="32">
        <f>G20+$H$4-SUM(H7:H20)</f>
        <v>5</v>
      </c>
      <c r="K20" s="70" t="str">
        <f>IF($I$22&gt;0,"OBS: Er der uafholdte feriefridage pr. 31. december 2024, skal de udbetales sammen med lønnen i januar 2025, medmindre de aftales overført."," ")</f>
        <v>OBS: Er der uafholdte feriefridage pr. 31. december 2024, skal de udbetales sammen med lønnen i januar 2025, medmindre de aftales overført.</v>
      </c>
      <c r="L20" s="70"/>
      <c r="M20" s="70"/>
      <c r="O20" s="59">
        <v>45566</v>
      </c>
      <c r="P20" s="14">
        <v>0</v>
      </c>
      <c r="Q20" s="5">
        <f t="shared" si="2"/>
        <v>24.999999999999996</v>
      </c>
      <c r="R20" s="24"/>
      <c r="S20" s="11">
        <f>Q20+$R$4-SUM($R$7:R20)</f>
        <v>24.999999999999996</v>
      </c>
      <c r="U20" s="70" t="str">
        <f>IF($S$22&gt;0,"OBS: Er der uafholdte feriedage udover 20 dage pr. 31. december 2024, skal de udbetales senest 31. marts 2025, medmindre de aftales overført."," ")</f>
        <v>OBS: Er der uafholdte feriedage udover 20 dage pr. 31. december 2024, skal de udbetales senest 31. marts 2025, medmindre de aftales overført.</v>
      </c>
      <c r="V20" s="70"/>
      <c r="W20" s="70"/>
    </row>
    <row r="21" spans="2:23" ht="20.149999999999999" customHeight="1" x14ac:dyDescent="0.35">
      <c r="E21" s="59">
        <v>45597</v>
      </c>
      <c r="F21" s="14">
        <v>0</v>
      </c>
      <c r="G21" s="5">
        <f t="shared" si="4"/>
        <v>5</v>
      </c>
      <c r="H21" s="24"/>
      <c r="I21" s="32">
        <f>G21+$H$4-SUM(H7:H21)</f>
        <v>5</v>
      </c>
      <c r="K21" s="70"/>
      <c r="L21" s="70"/>
      <c r="M21" s="70"/>
      <c r="O21" s="59">
        <v>45597</v>
      </c>
      <c r="P21" s="14">
        <v>0</v>
      </c>
      <c r="Q21" s="5">
        <f t="shared" si="2"/>
        <v>24.999999999999996</v>
      </c>
      <c r="R21" s="24"/>
      <c r="S21" s="11">
        <f>Q21+$R$4-SUM($R$7:R21)</f>
        <v>24.999999999999996</v>
      </c>
      <c r="U21" s="70"/>
      <c r="V21" s="70"/>
      <c r="W21" s="70"/>
    </row>
    <row r="22" spans="2:23" ht="20.149999999999999" customHeight="1" x14ac:dyDescent="0.35">
      <c r="E22" s="59">
        <v>45627</v>
      </c>
      <c r="F22" s="14">
        <v>0</v>
      </c>
      <c r="G22" s="6">
        <f t="shared" si="4"/>
        <v>5</v>
      </c>
      <c r="H22" s="25"/>
      <c r="I22" s="33">
        <f>G22+$H$4-SUM(H7:H22)-H24-H25</f>
        <v>5</v>
      </c>
      <c r="K22" s="70"/>
      <c r="L22" s="70"/>
      <c r="M22" s="70"/>
      <c r="O22" s="59">
        <v>45627</v>
      </c>
      <c r="P22" s="15">
        <v>0</v>
      </c>
      <c r="Q22" s="6">
        <f t="shared" si="2"/>
        <v>24.999999999999996</v>
      </c>
      <c r="R22" s="27"/>
      <c r="S22" s="40">
        <f>Q22+$R$4-SUM($R$7:R22)-R24-R25</f>
        <v>24.999999999999996</v>
      </c>
      <c r="U22" s="70"/>
      <c r="V22" s="70"/>
      <c r="W22" s="70"/>
    </row>
    <row r="23" spans="2:23" ht="8.25" customHeight="1" x14ac:dyDescent="0.35">
      <c r="E23" s="7"/>
      <c r="F23" s="7"/>
      <c r="G23" s="8"/>
      <c r="H23" s="10"/>
      <c r="I23" s="9"/>
      <c r="O23" s="7"/>
      <c r="P23" s="7"/>
      <c r="Q23" s="8"/>
      <c r="R23" s="10" t="s">
        <v>41</v>
      </c>
      <c r="S23" s="9"/>
      <c r="U23" s="54"/>
      <c r="V23" s="54"/>
      <c r="W23" s="54"/>
    </row>
    <row r="24" spans="2:23" x14ac:dyDescent="0.35">
      <c r="G24" s="31" t="s">
        <v>35</v>
      </c>
      <c r="H24" s="23"/>
      <c r="O24" s="1"/>
      <c r="P24" s="1"/>
      <c r="Q24" s="31" t="s">
        <v>35</v>
      </c>
      <c r="R24" s="23"/>
      <c r="U24" s="54"/>
      <c r="V24" s="54"/>
      <c r="W24" s="54"/>
    </row>
    <row r="25" spans="2:23" ht="15" customHeight="1" x14ac:dyDescent="0.35">
      <c r="G25" s="31" t="s">
        <v>36</v>
      </c>
      <c r="H25" s="27"/>
      <c r="K25" s="28"/>
      <c r="L25" s="28"/>
      <c r="M25" s="28"/>
      <c r="O25" s="1"/>
      <c r="P25" s="1"/>
      <c r="Q25" s="31" t="s">
        <v>36</v>
      </c>
      <c r="R25" s="27"/>
      <c r="S25" s="19" t="s">
        <v>41</v>
      </c>
    </row>
    <row r="26" spans="2:23" x14ac:dyDescent="0.35">
      <c r="K26" s="28"/>
      <c r="L26" s="28"/>
      <c r="M26" s="28"/>
      <c r="O26" s="1"/>
      <c r="P26" s="1"/>
    </row>
    <row r="27" spans="2:23" ht="43.5" x14ac:dyDescent="0.35">
      <c r="G27" s="57" t="s">
        <v>52</v>
      </c>
      <c r="K27" s="28"/>
      <c r="L27" s="28"/>
      <c r="M27" s="28"/>
      <c r="O27" s="1"/>
      <c r="P27" s="1"/>
      <c r="Q27" s="57" t="s">
        <v>55</v>
      </c>
    </row>
    <row r="28" spans="2:23" x14ac:dyDescent="0.35">
      <c r="K28" s="28"/>
      <c r="L28" s="28"/>
      <c r="M28" s="28"/>
    </row>
    <row r="31" spans="2:23" x14ac:dyDescent="0.35">
      <c r="B31" s="62"/>
    </row>
  </sheetData>
  <protectedRanges>
    <protectedRange sqref="H4" name="Område2"/>
    <protectedRange sqref="H11:H23" name="Område1"/>
    <protectedRange sqref="H24:H25" name="Område1_1"/>
    <protectedRange sqref="R11:R25" name="Område1_3"/>
    <protectedRange sqref="C6" name="Område1_2_1_1"/>
  </protectedRanges>
  <mergeCells count="9">
    <mergeCell ref="B7:C13"/>
    <mergeCell ref="K7:M9"/>
    <mergeCell ref="U7:W9"/>
    <mergeCell ref="K20:M22"/>
    <mergeCell ref="U20:W22"/>
    <mergeCell ref="E2:I2"/>
    <mergeCell ref="O2:S2"/>
    <mergeCell ref="E4:G4"/>
    <mergeCell ref="O4:Q4"/>
  </mergeCells>
  <conditionalFormatting sqref="I7:I23">
    <cfRule type="cellIs" dxfId="13" priority="3" operator="greaterThanOrEqual">
      <formula>0</formula>
    </cfRule>
    <cfRule type="cellIs" dxfId="12" priority="4" operator="lessThan">
      <formula>0</formula>
    </cfRule>
  </conditionalFormatting>
  <conditionalFormatting sqref="S7:S25">
    <cfRule type="cellIs" dxfId="11" priority="1" operator="greaterThanOrEqual">
      <formula>0</formula>
    </cfRule>
    <cfRule type="cellIs" dxfId="10" priority="2" operator="lessThan">
      <formula>0</formula>
    </cfRule>
  </conditionalFormatting>
  <dataValidations count="1">
    <dataValidation type="list" allowBlank="1" showInputMessage="1" showErrorMessage="1" sqref="C6" xr:uid="{89E5EFD9-6F8C-4D6E-8CCA-C489B5045224}">
      <formula1>$E$7:$E$22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A8E1-011F-4F99-8E1A-AA72D118D15D}">
  <dimension ref="B1:W31"/>
  <sheetViews>
    <sheetView topLeftCell="M1" zoomScale="85" zoomScaleNormal="85" zoomScaleSheetLayoutView="100" workbookViewId="0">
      <selection activeCell="W4" sqref="W4"/>
    </sheetView>
  </sheetViews>
  <sheetFormatPr defaultRowHeight="14.5" x14ac:dyDescent="0.35"/>
  <cols>
    <col min="2" max="2" width="33" bestFit="1" customWidth="1"/>
    <col min="3" max="3" width="26.54296875" customWidth="1"/>
    <col min="4" max="4" width="5.453125" customWidth="1"/>
    <col min="5" max="5" width="17.26953125" style="1" bestFit="1" customWidth="1"/>
    <col min="6" max="6" width="26.26953125" style="1" customWidth="1"/>
    <col min="7" max="7" width="26.81640625" customWidth="1"/>
    <col min="8" max="8" width="18.54296875" customWidth="1"/>
    <col min="9" max="9" width="13.81640625" customWidth="1"/>
    <col min="10" max="10" width="2.453125" customWidth="1"/>
    <col min="13" max="13" width="30.7265625" customWidth="1"/>
    <col min="14" max="14" width="21.453125" customWidth="1"/>
    <col min="15" max="16" width="15.453125" customWidth="1"/>
    <col min="17" max="17" width="25.54296875" customWidth="1"/>
    <col min="18" max="18" width="18.54296875" customWidth="1"/>
    <col min="19" max="19" width="13.81640625" customWidth="1"/>
    <col min="20" max="20" width="2.453125" customWidth="1"/>
    <col min="23" max="23" width="30.81640625" customWidth="1"/>
  </cols>
  <sheetData>
    <row r="1" spans="2:23" x14ac:dyDescent="0.35">
      <c r="E1"/>
      <c r="F1"/>
    </row>
    <row r="2" spans="2:23" ht="17" x14ac:dyDescent="0.4">
      <c r="E2" s="67" t="s">
        <v>66</v>
      </c>
      <c r="F2" s="67"/>
      <c r="G2" s="67"/>
      <c r="H2" s="67"/>
      <c r="I2" s="67"/>
      <c r="O2" s="67" t="s">
        <v>69</v>
      </c>
      <c r="P2" s="67"/>
      <c r="Q2" s="67"/>
      <c r="R2" s="67"/>
      <c r="S2" s="67"/>
    </row>
    <row r="3" spans="2:23" ht="17" x14ac:dyDescent="0.4">
      <c r="E3"/>
      <c r="F3"/>
      <c r="O3" s="17"/>
      <c r="P3" s="17"/>
      <c r="Q3" s="17"/>
      <c r="R3" s="17"/>
      <c r="S3" s="17"/>
    </row>
    <row r="4" spans="2:23" ht="30.75" customHeight="1" x14ac:dyDescent="0.35">
      <c r="E4" s="68" t="s">
        <v>67</v>
      </c>
      <c r="F4" s="69"/>
      <c r="G4" s="69"/>
      <c r="H4" s="34">
        <f>'2022-2023'!H24</f>
        <v>0</v>
      </c>
      <c r="K4" s="16"/>
      <c r="L4" s="16"/>
      <c r="M4" s="16"/>
      <c r="O4" s="68" t="s">
        <v>70</v>
      </c>
      <c r="P4" s="69"/>
      <c r="Q4" s="71"/>
      <c r="R4" s="52">
        <f>'2022-2023'!R24</f>
        <v>0</v>
      </c>
    </row>
    <row r="5" spans="2:23" x14ac:dyDescent="0.35">
      <c r="E5"/>
      <c r="F5"/>
      <c r="K5" s="16"/>
      <c r="L5" s="16"/>
      <c r="M5" s="16"/>
      <c r="R5" s="51"/>
    </row>
    <row r="6" spans="2:23" ht="46.5" x14ac:dyDescent="0.35">
      <c r="B6" s="37" t="s">
        <v>68</v>
      </c>
      <c r="C6" s="61">
        <v>45536</v>
      </c>
      <c r="E6" s="20" t="s">
        <v>0</v>
      </c>
      <c r="F6" s="21" t="s">
        <v>53</v>
      </c>
      <c r="G6" s="22" t="s">
        <v>49</v>
      </c>
      <c r="H6" s="22" t="s">
        <v>30</v>
      </c>
      <c r="I6" s="26" t="s">
        <v>31</v>
      </c>
      <c r="K6" s="16"/>
      <c r="L6" s="16"/>
      <c r="M6" s="16"/>
      <c r="O6" s="20" t="s">
        <v>0</v>
      </c>
      <c r="P6" s="21" t="s">
        <v>53</v>
      </c>
      <c r="Q6" s="22" t="s">
        <v>54</v>
      </c>
      <c r="R6" s="56" t="s">
        <v>45</v>
      </c>
      <c r="S6" s="26" t="s">
        <v>46</v>
      </c>
    </row>
    <row r="7" spans="2:23" ht="20.149999999999999" customHeight="1" x14ac:dyDescent="0.35">
      <c r="B7" s="72" t="s">
        <v>38</v>
      </c>
      <c r="C7" s="72"/>
      <c r="E7" s="59">
        <v>45536</v>
      </c>
      <c r="F7" s="14">
        <f>IF(E7&gt;($C$6-1),5/12,0)</f>
        <v>0.41666666666666669</v>
      </c>
      <c r="G7" s="4">
        <f>F7</f>
        <v>0.41666666666666669</v>
      </c>
      <c r="H7" s="63"/>
      <c r="I7" s="32">
        <f>F7+H4</f>
        <v>0.41666666666666669</v>
      </c>
      <c r="K7" s="70" t="str">
        <f>IF('2021-2022'!$I$22&gt;0,"Der er uafholdte feriefridage i perioden 1.september 2023 – 31. december 2024. Disse dage skal afholdes, overføres eller udbetales inden afholdelse af feriefridagene i denne periode."," ")</f>
        <v>Der er uafholdte feriefridage i perioden 1.september 2023 – 31. december 2024. Disse dage skal afholdes, overføres eller udbetales inden afholdelse af feriefridagene i denne periode.</v>
      </c>
      <c r="L7" s="70"/>
      <c r="M7" s="70"/>
      <c r="O7" s="59">
        <v>45536</v>
      </c>
      <c r="P7" s="14">
        <f>IF(O7&gt;($C$6-1),25/12,0)</f>
        <v>2.0833333333333335</v>
      </c>
      <c r="Q7" s="55">
        <f>P7</f>
        <v>2.0833333333333335</v>
      </c>
      <c r="R7" s="63"/>
      <c r="S7" s="11">
        <f>P7+R4</f>
        <v>2.0833333333333335</v>
      </c>
      <c r="U7" s="70" t="str">
        <f>IF('2021-2022'!$S$22&gt;0,"Der er uafholdte feriedage i perioden 1.september 2023 – 31. december 2024. Disse dage skal afholdes, overføres eller udbetales inden afholdelse af feriedagene i denne periode."," ")</f>
        <v>Der er uafholdte feriedage i perioden 1.september 2023 – 31. december 2024. Disse dage skal afholdes, overføres eller udbetales inden afholdelse af feriedagene i denne periode.</v>
      </c>
      <c r="V7" s="70"/>
      <c r="W7" s="70"/>
    </row>
    <row r="8" spans="2:23" ht="20.149999999999999" customHeight="1" x14ac:dyDescent="0.35">
      <c r="B8" s="72"/>
      <c r="C8" s="72"/>
      <c r="E8" s="59">
        <v>45566</v>
      </c>
      <c r="F8" s="14">
        <f t="shared" ref="F8:F18" si="0">IF(E8&gt;($C$6-1),5/12,0)</f>
        <v>0.41666666666666669</v>
      </c>
      <c r="G8" s="5">
        <f>G7+F8</f>
        <v>0.83333333333333337</v>
      </c>
      <c r="H8" s="64"/>
      <c r="I8" s="32">
        <f>G8+$H$4-SUM(H7:H8)</f>
        <v>0.83333333333333337</v>
      </c>
      <c r="K8" s="70"/>
      <c r="L8" s="70"/>
      <c r="M8" s="70"/>
      <c r="O8" s="59">
        <v>45566</v>
      </c>
      <c r="P8" s="14">
        <f t="shared" ref="P8:P18" si="1">IF(O8&gt;($C$6-1),25/12,0)</f>
        <v>2.0833333333333335</v>
      </c>
      <c r="Q8" s="14">
        <f>Q7+P8</f>
        <v>4.166666666666667</v>
      </c>
      <c r="R8" s="64"/>
      <c r="S8" s="11">
        <f>Q8+$R$4-SUM($R$7:R8)</f>
        <v>4.166666666666667</v>
      </c>
      <c r="U8" s="70"/>
      <c r="V8" s="70"/>
      <c r="W8" s="70"/>
    </row>
    <row r="9" spans="2:23" ht="20.149999999999999" customHeight="1" x14ac:dyDescent="0.35">
      <c r="B9" s="72"/>
      <c r="C9" s="72"/>
      <c r="E9" s="59">
        <v>45597</v>
      </c>
      <c r="F9" s="14">
        <f t="shared" si="0"/>
        <v>0.41666666666666669</v>
      </c>
      <c r="G9" s="5">
        <f>G8+F9</f>
        <v>1.25</v>
      </c>
      <c r="H9" s="64"/>
      <c r="I9" s="32">
        <f>G9+$H$4-SUM(H7:H9)</f>
        <v>1.25</v>
      </c>
      <c r="K9" s="70"/>
      <c r="L9" s="70"/>
      <c r="M9" s="70"/>
      <c r="O9" s="59">
        <v>45597</v>
      </c>
      <c r="P9" s="14">
        <f t="shared" si="1"/>
        <v>2.0833333333333335</v>
      </c>
      <c r="Q9" s="14">
        <f t="shared" ref="Q9:Q22" si="2">Q8+P9</f>
        <v>6.25</v>
      </c>
      <c r="R9" s="64"/>
      <c r="S9" s="11">
        <f>Q9+$R$4-SUM($R$7:R9)</f>
        <v>6.25</v>
      </c>
      <c r="U9" s="70"/>
      <c r="V9" s="70"/>
      <c r="W9" s="70"/>
    </row>
    <row r="10" spans="2:23" ht="20.149999999999999" customHeight="1" x14ac:dyDescent="0.35">
      <c r="B10" s="72"/>
      <c r="C10" s="72"/>
      <c r="E10" s="59">
        <v>45627</v>
      </c>
      <c r="F10" s="14">
        <f t="shared" si="0"/>
        <v>0.41666666666666669</v>
      </c>
      <c r="G10" s="5">
        <f t="shared" ref="G10:G11" si="3">G9+F10</f>
        <v>1.6666666666666667</v>
      </c>
      <c r="H10" s="64"/>
      <c r="I10" s="32">
        <f>G10+$H$4-SUM(H7:H10)</f>
        <v>1.6666666666666667</v>
      </c>
      <c r="O10" s="59">
        <v>45627</v>
      </c>
      <c r="P10" s="14">
        <f t="shared" si="1"/>
        <v>2.0833333333333335</v>
      </c>
      <c r="Q10" s="14">
        <f t="shared" si="2"/>
        <v>8.3333333333333339</v>
      </c>
      <c r="R10" s="64"/>
      <c r="S10" s="11">
        <f>Q10+$R$4-SUM($R$7:R10)</f>
        <v>8.3333333333333339</v>
      </c>
    </row>
    <row r="11" spans="2:23" ht="20.149999999999999" customHeight="1" x14ac:dyDescent="0.35">
      <c r="B11" s="72"/>
      <c r="C11" s="72"/>
      <c r="E11" s="59">
        <v>45658</v>
      </c>
      <c r="F11" s="14">
        <f t="shared" si="0"/>
        <v>0.41666666666666669</v>
      </c>
      <c r="G11" s="5">
        <f t="shared" si="3"/>
        <v>2.0833333333333335</v>
      </c>
      <c r="H11" s="24"/>
      <c r="I11" s="32">
        <f>G11+$H$4-SUM(H7:H11)</f>
        <v>2.0833333333333335</v>
      </c>
      <c r="O11" s="59">
        <v>45658</v>
      </c>
      <c r="P11" s="14">
        <f t="shared" si="1"/>
        <v>2.0833333333333335</v>
      </c>
      <c r="Q11" s="5">
        <f t="shared" si="2"/>
        <v>10.416666666666668</v>
      </c>
      <c r="R11" s="24"/>
      <c r="S11" s="11">
        <f>Q11+$R$4-SUM($R$7:R11)</f>
        <v>10.416666666666668</v>
      </c>
    </row>
    <row r="12" spans="2:23" ht="20.149999999999999" customHeight="1" x14ac:dyDescent="0.35">
      <c r="B12" s="72"/>
      <c r="C12" s="72"/>
      <c r="E12" s="59">
        <v>45689</v>
      </c>
      <c r="F12" s="14">
        <f t="shared" si="0"/>
        <v>0.41666666666666669</v>
      </c>
      <c r="G12" s="5">
        <f>G11+F12</f>
        <v>2.5</v>
      </c>
      <c r="H12" s="24"/>
      <c r="I12" s="32">
        <f>G12+$H$4-SUM(H7:H12)</f>
        <v>2.5</v>
      </c>
      <c r="O12" s="59">
        <v>45689</v>
      </c>
      <c r="P12" s="14">
        <f t="shared" si="1"/>
        <v>2.0833333333333335</v>
      </c>
      <c r="Q12" s="5">
        <f t="shared" si="2"/>
        <v>12.500000000000002</v>
      </c>
      <c r="R12" s="24"/>
      <c r="S12" s="11">
        <f>Q12+$R$4-SUM($R$7:R12)</f>
        <v>12.500000000000002</v>
      </c>
    </row>
    <row r="13" spans="2:23" ht="20.149999999999999" customHeight="1" x14ac:dyDescent="0.35">
      <c r="B13" s="72"/>
      <c r="C13" s="72"/>
      <c r="E13" s="59">
        <v>45717</v>
      </c>
      <c r="F13" s="14">
        <f t="shared" si="0"/>
        <v>0.41666666666666669</v>
      </c>
      <c r="G13" s="5">
        <f t="shared" ref="G13:G22" si="4">G12+F13</f>
        <v>2.9166666666666665</v>
      </c>
      <c r="H13" s="24"/>
      <c r="I13" s="32">
        <f>G13+$H$4-SUM(H7:H13)</f>
        <v>2.9166666666666665</v>
      </c>
      <c r="O13" s="59">
        <v>45717</v>
      </c>
      <c r="P13" s="14">
        <f t="shared" si="1"/>
        <v>2.0833333333333335</v>
      </c>
      <c r="Q13" s="5">
        <f t="shared" si="2"/>
        <v>14.583333333333336</v>
      </c>
      <c r="R13" s="24"/>
      <c r="S13" s="11">
        <f>Q13+$R$4-SUM($R$7:R13)</f>
        <v>14.583333333333336</v>
      </c>
    </row>
    <row r="14" spans="2:23" ht="20.149999999999999" customHeight="1" x14ac:dyDescent="0.35">
      <c r="E14" s="59">
        <v>45748</v>
      </c>
      <c r="F14" s="14">
        <f t="shared" si="0"/>
        <v>0.41666666666666669</v>
      </c>
      <c r="G14" s="5">
        <f t="shared" si="4"/>
        <v>3.333333333333333</v>
      </c>
      <c r="H14" s="24"/>
      <c r="I14" s="32">
        <f>G14+$H$4-SUM(H7:H14)</f>
        <v>3.333333333333333</v>
      </c>
      <c r="K14" s="16"/>
      <c r="O14" s="59">
        <v>45748</v>
      </c>
      <c r="P14" s="14">
        <f t="shared" si="1"/>
        <v>2.0833333333333335</v>
      </c>
      <c r="Q14" s="5">
        <f t="shared" si="2"/>
        <v>16.666666666666668</v>
      </c>
      <c r="R14" s="24"/>
      <c r="S14" s="11">
        <f>Q14+$R$4-SUM($R$7:R14)</f>
        <v>16.666666666666668</v>
      </c>
    </row>
    <row r="15" spans="2:23" ht="20.149999999999999" customHeight="1" x14ac:dyDescent="0.35">
      <c r="E15" s="59">
        <v>45778</v>
      </c>
      <c r="F15" s="14">
        <f t="shared" si="0"/>
        <v>0.41666666666666669</v>
      </c>
      <c r="G15" s="5">
        <f t="shared" si="4"/>
        <v>3.7499999999999996</v>
      </c>
      <c r="H15" s="24"/>
      <c r="I15" s="32">
        <f>G15+$H$4-SUM(H7:H15)</f>
        <v>3.7499999999999996</v>
      </c>
      <c r="K15" s="16"/>
      <c r="O15" s="59">
        <v>45778</v>
      </c>
      <c r="P15" s="14">
        <f t="shared" si="1"/>
        <v>2.0833333333333335</v>
      </c>
      <c r="Q15" s="5">
        <f t="shared" si="2"/>
        <v>18.75</v>
      </c>
      <c r="R15" s="24"/>
      <c r="S15" s="11">
        <f>Q15+$R$4-SUM($R$7:R15)</f>
        <v>18.75</v>
      </c>
    </row>
    <row r="16" spans="2:23" ht="20.149999999999999" customHeight="1" x14ac:dyDescent="0.35">
      <c r="E16" s="59">
        <v>45809</v>
      </c>
      <c r="F16" s="14">
        <f t="shared" si="0"/>
        <v>0.41666666666666669</v>
      </c>
      <c r="G16" s="5">
        <f t="shared" si="4"/>
        <v>4.1666666666666661</v>
      </c>
      <c r="H16" s="24"/>
      <c r="I16" s="32">
        <f>G16+$H$4-SUM(H7:H16)</f>
        <v>4.1666666666666661</v>
      </c>
      <c r="K16" s="16"/>
      <c r="O16" s="59">
        <v>45809</v>
      </c>
      <c r="P16" s="14">
        <f t="shared" si="1"/>
        <v>2.0833333333333335</v>
      </c>
      <c r="Q16" s="5">
        <f t="shared" si="2"/>
        <v>20.833333333333332</v>
      </c>
      <c r="R16" s="24"/>
      <c r="S16" s="11">
        <f>Q16+$R$4-SUM($R$7:R16)</f>
        <v>20.833333333333332</v>
      </c>
    </row>
    <row r="17" spans="2:23" ht="20.149999999999999" customHeight="1" x14ac:dyDescent="0.35">
      <c r="E17" s="59">
        <v>45839</v>
      </c>
      <c r="F17" s="14">
        <f t="shared" si="0"/>
        <v>0.41666666666666669</v>
      </c>
      <c r="G17" s="5">
        <f t="shared" si="4"/>
        <v>4.583333333333333</v>
      </c>
      <c r="H17" s="24"/>
      <c r="I17" s="32">
        <f>G17+$H$4-SUM(H7:H17)</f>
        <v>4.583333333333333</v>
      </c>
      <c r="K17" s="16"/>
      <c r="O17" s="59">
        <v>45839</v>
      </c>
      <c r="P17" s="14">
        <f t="shared" si="1"/>
        <v>2.0833333333333335</v>
      </c>
      <c r="Q17" s="5">
        <f t="shared" si="2"/>
        <v>22.916666666666664</v>
      </c>
      <c r="R17" s="24"/>
      <c r="S17" s="11">
        <f>Q17+$R$4-SUM($R$7:R17)</f>
        <v>22.916666666666664</v>
      </c>
    </row>
    <row r="18" spans="2:23" ht="20.149999999999999" customHeight="1" x14ac:dyDescent="0.35">
      <c r="E18" s="59">
        <v>45870</v>
      </c>
      <c r="F18" s="14">
        <f t="shared" si="0"/>
        <v>0.41666666666666669</v>
      </c>
      <c r="G18" s="5">
        <f t="shared" si="4"/>
        <v>5</v>
      </c>
      <c r="H18" s="24"/>
      <c r="I18" s="32">
        <f>G18+$H$4-SUM(H7:H18)</f>
        <v>5</v>
      </c>
      <c r="K18" s="13"/>
      <c r="L18" s="13"/>
      <c r="M18" s="13"/>
      <c r="N18" s="13"/>
      <c r="O18" s="59">
        <v>45870</v>
      </c>
      <c r="P18" s="14">
        <f t="shared" si="1"/>
        <v>2.0833333333333335</v>
      </c>
      <c r="Q18" s="5">
        <f t="shared" si="2"/>
        <v>24.999999999999996</v>
      </c>
      <c r="R18" s="24"/>
      <c r="S18" s="11">
        <f>Q18+$R$4-SUM($R$7:R18)</f>
        <v>24.999999999999996</v>
      </c>
    </row>
    <row r="19" spans="2:23" ht="20.149999999999999" customHeight="1" x14ac:dyDescent="0.35">
      <c r="E19" s="59">
        <v>45901</v>
      </c>
      <c r="F19" s="14">
        <v>0</v>
      </c>
      <c r="G19" s="5">
        <f t="shared" si="4"/>
        <v>5</v>
      </c>
      <c r="H19" s="24"/>
      <c r="I19" s="32">
        <f>G19+$H$4-SUM(H6:H19)</f>
        <v>5</v>
      </c>
      <c r="O19" s="59">
        <v>45901</v>
      </c>
      <c r="P19" s="14">
        <v>0</v>
      </c>
      <c r="Q19" s="5">
        <f t="shared" si="2"/>
        <v>24.999999999999996</v>
      </c>
      <c r="R19" s="24"/>
      <c r="S19" s="11">
        <f>Q19+$R$4-SUM($R$7:R19)</f>
        <v>24.999999999999996</v>
      </c>
    </row>
    <row r="20" spans="2:23" ht="20.149999999999999" customHeight="1" x14ac:dyDescent="0.35">
      <c r="E20" s="59">
        <v>45931</v>
      </c>
      <c r="F20" s="14">
        <v>0</v>
      </c>
      <c r="G20" s="5">
        <f t="shared" si="4"/>
        <v>5</v>
      </c>
      <c r="H20" s="24"/>
      <c r="I20" s="32">
        <f>G20+$H$4-SUM(H7:H20)</f>
        <v>5</v>
      </c>
      <c r="K20" s="70" t="str">
        <f>IF($I$22&gt;0,"OBS: Er der uafholdte feriefridage pr. 31. december 2024, skal de udbetales sammen med lønnen i januar 2025, medmindre de aftales overført."," ")</f>
        <v>OBS: Er der uafholdte feriefridage pr. 31. december 2024, skal de udbetales sammen med lønnen i januar 2025, medmindre de aftales overført.</v>
      </c>
      <c r="L20" s="70"/>
      <c r="M20" s="70"/>
      <c r="O20" s="59">
        <v>45931</v>
      </c>
      <c r="P20" s="14">
        <v>0</v>
      </c>
      <c r="Q20" s="5">
        <f t="shared" si="2"/>
        <v>24.999999999999996</v>
      </c>
      <c r="R20" s="24"/>
      <c r="S20" s="11">
        <f>Q20+$R$4-SUM($R$7:R20)</f>
        <v>24.999999999999996</v>
      </c>
      <c r="U20" s="70" t="str">
        <f>IF($S$22&gt;0,"OBS: Er der uafholdte feriedage udover 20 dage pr. 31. december 2024, skal de udbetales senest 31. marts 2025, medmindre de aftales overført."," ")</f>
        <v>OBS: Er der uafholdte feriedage udover 20 dage pr. 31. december 2024, skal de udbetales senest 31. marts 2025, medmindre de aftales overført.</v>
      </c>
      <c r="V20" s="70"/>
      <c r="W20" s="70"/>
    </row>
    <row r="21" spans="2:23" ht="20.149999999999999" customHeight="1" x14ac:dyDescent="0.35">
      <c r="E21" s="59">
        <v>45962</v>
      </c>
      <c r="F21" s="14">
        <v>0</v>
      </c>
      <c r="G21" s="5">
        <f t="shared" si="4"/>
        <v>5</v>
      </c>
      <c r="H21" s="24"/>
      <c r="I21" s="32">
        <f>G21+$H$4-SUM(H7:H21)</f>
        <v>5</v>
      </c>
      <c r="K21" s="70"/>
      <c r="L21" s="70"/>
      <c r="M21" s="70"/>
      <c r="O21" s="59">
        <v>45962</v>
      </c>
      <c r="P21" s="14">
        <v>0</v>
      </c>
      <c r="Q21" s="5">
        <f t="shared" si="2"/>
        <v>24.999999999999996</v>
      </c>
      <c r="R21" s="24"/>
      <c r="S21" s="11">
        <f>Q21+$R$4-SUM($R$7:R21)</f>
        <v>24.999999999999996</v>
      </c>
      <c r="U21" s="70"/>
      <c r="V21" s="70"/>
      <c r="W21" s="70"/>
    </row>
    <row r="22" spans="2:23" ht="20.149999999999999" customHeight="1" x14ac:dyDescent="0.35">
      <c r="E22" s="59">
        <v>45992</v>
      </c>
      <c r="F22" s="14">
        <v>0</v>
      </c>
      <c r="G22" s="6">
        <f t="shared" si="4"/>
        <v>5</v>
      </c>
      <c r="H22" s="25"/>
      <c r="I22" s="33">
        <f>G22+$H$4-SUM(H7:H22)-H24-H25</f>
        <v>5</v>
      </c>
      <c r="K22" s="70"/>
      <c r="L22" s="70"/>
      <c r="M22" s="70"/>
      <c r="O22" s="59">
        <v>45992</v>
      </c>
      <c r="P22" s="15">
        <v>0</v>
      </c>
      <c r="Q22" s="6">
        <f t="shared" si="2"/>
        <v>24.999999999999996</v>
      </c>
      <c r="R22" s="27"/>
      <c r="S22" s="40">
        <f>Q22+$R$4-SUM($R$7:R22)-R24-R25</f>
        <v>24.999999999999996</v>
      </c>
      <c r="U22" s="70"/>
      <c r="V22" s="70"/>
      <c r="W22" s="70"/>
    </row>
    <row r="23" spans="2:23" ht="8.25" customHeight="1" x14ac:dyDescent="0.35">
      <c r="E23" s="7"/>
      <c r="F23" s="7"/>
      <c r="G23" s="8"/>
      <c r="H23" s="10"/>
      <c r="I23" s="9"/>
      <c r="O23" s="7"/>
      <c r="P23" s="7"/>
      <c r="Q23" s="8"/>
      <c r="R23" s="10" t="s">
        <v>41</v>
      </c>
      <c r="S23" s="9"/>
      <c r="U23" s="54"/>
      <c r="V23" s="54"/>
      <c r="W23" s="54"/>
    </row>
    <row r="24" spans="2:23" x14ac:dyDescent="0.35">
      <c r="G24" s="31" t="s">
        <v>35</v>
      </c>
      <c r="H24" s="23"/>
      <c r="O24" s="1"/>
      <c r="P24" s="1"/>
      <c r="Q24" s="31" t="s">
        <v>35</v>
      </c>
      <c r="R24" s="23"/>
      <c r="U24" s="54"/>
      <c r="V24" s="54"/>
      <c r="W24" s="54"/>
    </row>
    <row r="25" spans="2:23" ht="15" customHeight="1" x14ac:dyDescent="0.35">
      <c r="G25" s="31" t="s">
        <v>36</v>
      </c>
      <c r="H25" s="27"/>
      <c r="K25" s="28"/>
      <c r="L25" s="28"/>
      <c r="M25" s="28"/>
      <c r="O25" s="1"/>
      <c r="P25" s="1"/>
      <c r="Q25" s="31" t="s">
        <v>36</v>
      </c>
      <c r="R25" s="27"/>
      <c r="S25" s="19" t="s">
        <v>41</v>
      </c>
    </row>
    <row r="26" spans="2:23" x14ac:dyDescent="0.35">
      <c r="K26" s="28"/>
      <c r="L26" s="28"/>
      <c r="M26" s="28"/>
      <c r="O26" s="1"/>
      <c r="P26" s="1"/>
    </row>
    <row r="27" spans="2:23" ht="43.5" x14ac:dyDescent="0.35">
      <c r="G27" s="57" t="s">
        <v>52</v>
      </c>
      <c r="K27" s="28"/>
      <c r="L27" s="28"/>
      <c r="M27" s="28"/>
      <c r="O27" s="1"/>
      <c r="P27" s="1"/>
      <c r="Q27" s="57" t="s">
        <v>55</v>
      </c>
    </row>
    <row r="28" spans="2:23" x14ac:dyDescent="0.35">
      <c r="K28" s="28"/>
      <c r="L28" s="28"/>
      <c r="M28" s="28"/>
    </row>
    <row r="31" spans="2:23" x14ac:dyDescent="0.35">
      <c r="B31" s="62"/>
    </row>
  </sheetData>
  <protectedRanges>
    <protectedRange sqref="H4" name="Område2"/>
    <protectedRange sqref="H11:H23" name="Område1"/>
    <protectedRange sqref="H24:H25" name="Område1_1"/>
    <protectedRange sqref="R11:R25" name="Område1_3"/>
    <protectedRange sqref="C6" name="Område1_2_1_1"/>
  </protectedRanges>
  <mergeCells count="9">
    <mergeCell ref="B7:C13"/>
    <mergeCell ref="K7:M9"/>
    <mergeCell ref="U7:W9"/>
    <mergeCell ref="K20:M22"/>
    <mergeCell ref="U20:W22"/>
    <mergeCell ref="E2:I2"/>
    <mergeCell ref="O2:S2"/>
    <mergeCell ref="E4:G4"/>
    <mergeCell ref="O4:Q4"/>
  </mergeCells>
  <conditionalFormatting sqref="I7:I23">
    <cfRule type="cellIs" dxfId="9" priority="3" operator="greaterThanOrEqual">
      <formula>0</formula>
    </cfRule>
    <cfRule type="cellIs" dxfId="8" priority="4" operator="lessThan">
      <formula>0</formula>
    </cfRule>
  </conditionalFormatting>
  <conditionalFormatting sqref="S7:S25">
    <cfRule type="cellIs" dxfId="7" priority="1" operator="greaterThanOrEqual">
      <formula>0</formula>
    </cfRule>
    <cfRule type="cellIs" dxfId="6" priority="2" operator="lessThan">
      <formula>0</formula>
    </cfRule>
  </conditionalFormatting>
  <dataValidations count="1">
    <dataValidation type="list" allowBlank="1" showInputMessage="1" showErrorMessage="1" sqref="C6" xr:uid="{4D40463B-B36F-4177-A73B-79DAF94A4897}">
      <formula1>$E$7:$E$22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613D-528E-474A-B7D2-9FD61E65D0FD}">
  <dimension ref="B1:W31"/>
  <sheetViews>
    <sheetView tabSelected="1" topLeftCell="A3" zoomScale="85" zoomScaleNormal="85" zoomScaleSheetLayoutView="100" workbookViewId="0">
      <selection activeCell="U7" sqref="U7:W9"/>
    </sheetView>
  </sheetViews>
  <sheetFormatPr defaultRowHeight="14.5" x14ac:dyDescent="0.35"/>
  <cols>
    <col min="2" max="2" width="33" bestFit="1" customWidth="1"/>
    <col min="3" max="3" width="26.54296875" customWidth="1"/>
    <col min="4" max="4" width="5.453125" customWidth="1"/>
    <col min="5" max="5" width="17.26953125" style="1" bestFit="1" customWidth="1"/>
    <col min="6" max="6" width="26.26953125" style="1" customWidth="1"/>
    <col min="7" max="7" width="26.81640625" customWidth="1"/>
    <col min="8" max="8" width="18.54296875" customWidth="1"/>
    <col min="9" max="9" width="13.81640625" customWidth="1"/>
    <col min="10" max="10" width="2.453125" customWidth="1"/>
    <col min="13" max="13" width="30.7265625" customWidth="1"/>
    <col min="14" max="14" width="21.453125" customWidth="1"/>
    <col min="15" max="16" width="15.453125" customWidth="1"/>
    <col min="17" max="17" width="25.54296875" customWidth="1"/>
    <col min="18" max="18" width="18.54296875" customWidth="1"/>
    <col min="19" max="19" width="13.81640625" customWidth="1"/>
    <col min="20" max="20" width="2.453125" customWidth="1"/>
    <col min="23" max="23" width="30.81640625" customWidth="1"/>
  </cols>
  <sheetData>
    <row r="1" spans="2:23" x14ac:dyDescent="0.35">
      <c r="E1"/>
      <c r="F1"/>
    </row>
    <row r="2" spans="2:23" ht="17" x14ac:dyDescent="0.4">
      <c r="E2" s="67" t="s">
        <v>72</v>
      </c>
      <c r="F2" s="67"/>
      <c r="G2" s="67"/>
      <c r="H2" s="67"/>
      <c r="I2" s="67"/>
      <c r="O2" s="67" t="s">
        <v>74</v>
      </c>
      <c r="P2" s="67"/>
      <c r="Q2" s="67"/>
      <c r="R2" s="67"/>
      <c r="S2" s="67"/>
    </row>
    <row r="3" spans="2:23" ht="17" x14ac:dyDescent="0.4">
      <c r="E3"/>
      <c r="F3"/>
      <c r="O3" s="17"/>
      <c r="P3" s="17"/>
      <c r="Q3" s="17"/>
      <c r="R3" s="17"/>
      <c r="S3" s="17"/>
    </row>
    <row r="4" spans="2:23" ht="30.75" customHeight="1" x14ac:dyDescent="0.35">
      <c r="E4" s="68" t="s">
        <v>73</v>
      </c>
      <c r="F4" s="69"/>
      <c r="G4" s="69"/>
      <c r="H4" s="34">
        <f>'2022-2023'!H24</f>
        <v>0</v>
      </c>
      <c r="K4" s="16"/>
      <c r="L4" s="16"/>
      <c r="M4" s="16"/>
      <c r="O4" s="68" t="s">
        <v>75</v>
      </c>
      <c r="P4" s="69"/>
      <c r="Q4" s="71"/>
      <c r="R4" s="52">
        <f>'2022-2023'!R24</f>
        <v>0</v>
      </c>
    </row>
    <row r="5" spans="2:23" x14ac:dyDescent="0.35">
      <c r="E5"/>
      <c r="F5"/>
      <c r="K5" s="16"/>
      <c r="L5" s="16"/>
      <c r="M5" s="16"/>
      <c r="R5" s="51"/>
    </row>
    <row r="6" spans="2:23" ht="46.5" x14ac:dyDescent="0.35">
      <c r="B6" s="37" t="s">
        <v>71</v>
      </c>
      <c r="C6" s="61">
        <v>45901</v>
      </c>
      <c r="E6" s="20" t="s">
        <v>0</v>
      </c>
      <c r="F6" s="21" t="s">
        <v>53</v>
      </c>
      <c r="G6" s="22" t="s">
        <v>49</v>
      </c>
      <c r="H6" s="22" t="s">
        <v>30</v>
      </c>
      <c r="I6" s="26" t="s">
        <v>31</v>
      </c>
      <c r="K6" s="16"/>
      <c r="L6" s="16"/>
      <c r="M6" s="16"/>
      <c r="O6" s="20" t="s">
        <v>0</v>
      </c>
      <c r="P6" s="21" t="s">
        <v>53</v>
      </c>
      <c r="Q6" s="22" t="s">
        <v>54</v>
      </c>
      <c r="R6" s="56" t="s">
        <v>45</v>
      </c>
      <c r="S6" s="26" t="s">
        <v>46</v>
      </c>
    </row>
    <row r="7" spans="2:23" ht="20.149999999999999" customHeight="1" x14ac:dyDescent="0.35">
      <c r="B7" s="72" t="s">
        <v>38</v>
      </c>
      <c r="C7" s="72"/>
      <c r="E7" s="59">
        <v>45901</v>
      </c>
      <c r="F7" s="14">
        <f>IF(E7&gt;($C$6-1),5/12,0)</f>
        <v>0.41666666666666669</v>
      </c>
      <c r="G7" s="4">
        <f>F7</f>
        <v>0.41666666666666669</v>
      </c>
      <c r="H7" s="63"/>
      <c r="I7" s="32">
        <f>F7+H4</f>
        <v>0.41666666666666669</v>
      </c>
      <c r="K7" s="70" t="str">
        <f>IF('2021-2022'!$I$22&gt;0,"Der er uafholdte feriefridage i perioden 1. september 2024 - 31. december 2025. Disse dage skal afholdes, overføres eller udbetales inden afholdelse af feriefridagene i denne periode."," ")</f>
        <v>Der er uafholdte feriefridage i perioden 1. september 2024 - 31. december 2025. Disse dage skal afholdes, overføres eller udbetales inden afholdelse af feriefridagene i denne periode.</v>
      </c>
      <c r="L7" s="70"/>
      <c r="M7" s="70"/>
      <c r="O7" s="59">
        <v>45901</v>
      </c>
      <c r="P7" s="14">
        <f>IF(O7&gt;($C$6-1),25/12,0)</f>
        <v>2.0833333333333335</v>
      </c>
      <c r="Q7" s="55">
        <f>P7</f>
        <v>2.0833333333333335</v>
      </c>
      <c r="R7" s="63"/>
      <c r="S7" s="11">
        <f>P7+R4</f>
        <v>2.0833333333333335</v>
      </c>
      <c r="U7" s="70" t="str">
        <f>IF('2021-2022'!$S$22&gt;0,"Der er uafholdte feriedage i perioden 1. september 2024 - 31. december 2025. Disse dage skal afholdes, overføres eller udbetales inden afholdelse af feriedagene i denne periode."," ")</f>
        <v>Der er uafholdte feriedage i perioden 1. september 2024 - 31. december 2025. Disse dage skal afholdes, overføres eller udbetales inden afholdelse af feriedagene i denne periode.</v>
      </c>
      <c r="V7" s="70"/>
      <c r="W7" s="70"/>
    </row>
    <row r="8" spans="2:23" ht="20.149999999999999" customHeight="1" x14ac:dyDescent="0.35">
      <c r="B8" s="72"/>
      <c r="C8" s="72"/>
      <c r="E8" s="59">
        <v>45931</v>
      </c>
      <c r="F8" s="14">
        <f t="shared" ref="F8:F18" si="0">IF(E8&gt;($C$6-1),5/12,0)</f>
        <v>0.41666666666666669</v>
      </c>
      <c r="G8" s="5">
        <f>G7+F8</f>
        <v>0.83333333333333337</v>
      </c>
      <c r="H8" s="64"/>
      <c r="I8" s="32">
        <f>G8+$H$4-SUM(H7:H8)</f>
        <v>0.83333333333333337</v>
      </c>
      <c r="K8" s="70"/>
      <c r="L8" s="70"/>
      <c r="M8" s="70"/>
      <c r="O8" s="59">
        <v>45931</v>
      </c>
      <c r="P8" s="14">
        <f t="shared" ref="P8:P18" si="1">IF(O8&gt;($C$6-1),25/12,0)</f>
        <v>2.0833333333333335</v>
      </c>
      <c r="Q8" s="14">
        <f>Q7+P8</f>
        <v>4.166666666666667</v>
      </c>
      <c r="R8" s="64"/>
      <c r="S8" s="11">
        <f>Q8+$R$4-SUM($R$7:R8)</f>
        <v>4.166666666666667</v>
      </c>
      <c r="U8" s="70"/>
      <c r="V8" s="70"/>
      <c r="W8" s="70"/>
    </row>
    <row r="9" spans="2:23" ht="20.149999999999999" customHeight="1" x14ac:dyDescent="0.35">
      <c r="B9" s="72"/>
      <c r="C9" s="72"/>
      <c r="E9" s="59">
        <v>45962</v>
      </c>
      <c r="F9" s="14">
        <f t="shared" si="0"/>
        <v>0.41666666666666669</v>
      </c>
      <c r="G9" s="5">
        <f>G8+F9</f>
        <v>1.25</v>
      </c>
      <c r="H9" s="64"/>
      <c r="I9" s="32">
        <f>G9+$H$4-SUM(H7:H9)</f>
        <v>1.25</v>
      </c>
      <c r="K9" s="70"/>
      <c r="L9" s="70"/>
      <c r="M9" s="70"/>
      <c r="O9" s="59">
        <v>45962</v>
      </c>
      <c r="P9" s="14">
        <f t="shared" si="1"/>
        <v>2.0833333333333335</v>
      </c>
      <c r="Q9" s="14">
        <f t="shared" ref="Q9:Q22" si="2">Q8+P9</f>
        <v>6.25</v>
      </c>
      <c r="R9" s="64"/>
      <c r="S9" s="11">
        <f>Q9+$R$4-SUM($R$7:R9)</f>
        <v>6.25</v>
      </c>
      <c r="U9" s="70"/>
      <c r="V9" s="70"/>
      <c r="W9" s="70"/>
    </row>
    <row r="10" spans="2:23" ht="20.149999999999999" customHeight="1" x14ac:dyDescent="0.35">
      <c r="B10" s="72"/>
      <c r="C10" s="72"/>
      <c r="E10" s="59">
        <v>45992</v>
      </c>
      <c r="F10" s="14">
        <f t="shared" si="0"/>
        <v>0.41666666666666669</v>
      </c>
      <c r="G10" s="5">
        <f t="shared" ref="G10:G11" si="3">G9+F10</f>
        <v>1.6666666666666667</v>
      </c>
      <c r="H10" s="64"/>
      <c r="I10" s="32">
        <f>G10+$H$4-SUM(H7:H10)</f>
        <v>1.6666666666666667</v>
      </c>
      <c r="O10" s="59">
        <v>45992</v>
      </c>
      <c r="P10" s="14">
        <f t="shared" si="1"/>
        <v>2.0833333333333335</v>
      </c>
      <c r="Q10" s="14">
        <f t="shared" si="2"/>
        <v>8.3333333333333339</v>
      </c>
      <c r="R10" s="64"/>
      <c r="S10" s="11">
        <f>Q10+$R$4-SUM($R$7:R10)</f>
        <v>8.3333333333333339</v>
      </c>
    </row>
    <row r="11" spans="2:23" ht="20.149999999999999" customHeight="1" x14ac:dyDescent="0.35">
      <c r="B11" s="72"/>
      <c r="C11" s="72"/>
      <c r="E11" s="59">
        <v>46023</v>
      </c>
      <c r="F11" s="14">
        <f t="shared" si="0"/>
        <v>0.41666666666666669</v>
      </c>
      <c r="G11" s="5">
        <f t="shared" si="3"/>
        <v>2.0833333333333335</v>
      </c>
      <c r="H11" s="24"/>
      <c r="I11" s="32">
        <f>G11+$H$4-SUM(H7:H11)</f>
        <v>2.0833333333333335</v>
      </c>
      <c r="O11" s="59">
        <v>46023</v>
      </c>
      <c r="P11" s="14">
        <f t="shared" si="1"/>
        <v>2.0833333333333335</v>
      </c>
      <c r="Q11" s="5">
        <f t="shared" si="2"/>
        <v>10.416666666666668</v>
      </c>
      <c r="R11" s="24"/>
      <c r="S11" s="11">
        <f>Q11+$R$4-SUM($R$7:R11)</f>
        <v>10.416666666666668</v>
      </c>
    </row>
    <row r="12" spans="2:23" ht="20.149999999999999" customHeight="1" x14ac:dyDescent="0.35">
      <c r="B12" s="72"/>
      <c r="C12" s="72"/>
      <c r="E12" s="59">
        <v>46054</v>
      </c>
      <c r="F12" s="14">
        <f t="shared" si="0"/>
        <v>0.41666666666666669</v>
      </c>
      <c r="G12" s="5">
        <f>G11+F12</f>
        <v>2.5</v>
      </c>
      <c r="H12" s="24"/>
      <c r="I12" s="32">
        <f>G12+$H$4-SUM(H7:H12)</f>
        <v>2.5</v>
      </c>
      <c r="O12" s="59">
        <v>46054</v>
      </c>
      <c r="P12" s="14">
        <f t="shared" si="1"/>
        <v>2.0833333333333335</v>
      </c>
      <c r="Q12" s="5">
        <f t="shared" si="2"/>
        <v>12.500000000000002</v>
      </c>
      <c r="R12" s="24"/>
      <c r="S12" s="11">
        <f>Q12+$R$4-SUM($R$7:R12)</f>
        <v>12.500000000000002</v>
      </c>
    </row>
    <row r="13" spans="2:23" ht="20.149999999999999" customHeight="1" x14ac:dyDescent="0.35">
      <c r="B13" s="72"/>
      <c r="C13" s="72"/>
      <c r="E13" s="59">
        <v>46082</v>
      </c>
      <c r="F13" s="14">
        <f t="shared" si="0"/>
        <v>0.41666666666666669</v>
      </c>
      <c r="G13" s="5">
        <f t="shared" ref="G13:G22" si="4">G12+F13</f>
        <v>2.9166666666666665</v>
      </c>
      <c r="H13" s="24"/>
      <c r="I13" s="32">
        <f>G13+$H$4-SUM(H7:H13)</f>
        <v>2.9166666666666665</v>
      </c>
      <c r="O13" s="59">
        <v>46082</v>
      </c>
      <c r="P13" s="14">
        <f t="shared" si="1"/>
        <v>2.0833333333333335</v>
      </c>
      <c r="Q13" s="5">
        <f t="shared" si="2"/>
        <v>14.583333333333336</v>
      </c>
      <c r="R13" s="24"/>
      <c r="S13" s="11">
        <f>Q13+$R$4-SUM($R$7:R13)</f>
        <v>14.583333333333336</v>
      </c>
    </row>
    <row r="14" spans="2:23" ht="20.149999999999999" customHeight="1" x14ac:dyDescent="0.35">
      <c r="E14" s="59">
        <v>46113</v>
      </c>
      <c r="F14" s="14">
        <f t="shared" si="0"/>
        <v>0.41666666666666669</v>
      </c>
      <c r="G14" s="5">
        <f t="shared" si="4"/>
        <v>3.333333333333333</v>
      </c>
      <c r="H14" s="24"/>
      <c r="I14" s="32">
        <f>G14+$H$4-SUM(H7:H14)</f>
        <v>3.333333333333333</v>
      </c>
      <c r="K14" s="16"/>
      <c r="O14" s="59">
        <v>46113</v>
      </c>
      <c r="P14" s="14">
        <f t="shared" si="1"/>
        <v>2.0833333333333335</v>
      </c>
      <c r="Q14" s="5">
        <f t="shared" si="2"/>
        <v>16.666666666666668</v>
      </c>
      <c r="R14" s="24"/>
      <c r="S14" s="11">
        <f>Q14+$R$4-SUM($R$7:R14)</f>
        <v>16.666666666666668</v>
      </c>
    </row>
    <row r="15" spans="2:23" ht="20.149999999999999" customHeight="1" x14ac:dyDescent="0.35">
      <c r="E15" s="59">
        <v>46143</v>
      </c>
      <c r="F15" s="14">
        <f t="shared" si="0"/>
        <v>0.41666666666666669</v>
      </c>
      <c r="G15" s="5">
        <f t="shared" si="4"/>
        <v>3.7499999999999996</v>
      </c>
      <c r="H15" s="24"/>
      <c r="I15" s="32">
        <f>G15+$H$4-SUM(H7:H15)</f>
        <v>3.7499999999999996</v>
      </c>
      <c r="K15" s="16"/>
      <c r="O15" s="59">
        <v>46143</v>
      </c>
      <c r="P15" s="14">
        <f t="shared" si="1"/>
        <v>2.0833333333333335</v>
      </c>
      <c r="Q15" s="5">
        <f t="shared" si="2"/>
        <v>18.75</v>
      </c>
      <c r="R15" s="24"/>
      <c r="S15" s="11">
        <f>Q15+$R$4-SUM($R$7:R15)</f>
        <v>18.75</v>
      </c>
    </row>
    <row r="16" spans="2:23" ht="20.149999999999999" customHeight="1" x14ac:dyDescent="0.35">
      <c r="E16" s="59">
        <v>46174</v>
      </c>
      <c r="F16" s="14">
        <f t="shared" si="0"/>
        <v>0.41666666666666669</v>
      </c>
      <c r="G16" s="5">
        <f t="shared" si="4"/>
        <v>4.1666666666666661</v>
      </c>
      <c r="H16" s="24"/>
      <c r="I16" s="32">
        <f>G16+$H$4-SUM(H7:H16)</f>
        <v>4.1666666666666661</v>
      </c>
      <c r="K16" s="16"/>
      <c r="O16" s="59">
        <v>46174</v>
      </c>
      <c r="P16" s="14">
        <f t="shared" si="1"/>
        <v>2.0833333333333335</v>
      </c>
      <c r="Q16" s="5">
        <f t="shared" si="2"/>
        <v>20.833333333333332</v>
      </c>
      <c r="R16" s="24"/>
      <c r="S16" s="11">
        <f>Q16+$R$4-SUM($R$7:R16)</f>
        <v>20.833333333333332</v>
      </c>
    </row>
    <row r="17" spans="2:23" ht="20.149999999999999" customHeight="1" x14ac:dyDescent="0.35">
      <c r="E17" s="59">
        <v>46204</v>
      </c>
      <c r="F17" s="14">
        <f t="shared" si="0"/>
        <v>0.41666666666666669</v>
      </c>
      <c r="G17" s="5">
        <f t="shared" si="4"/>
        <v>4.583333333333333</v>
      </c>
      <c r="H17" s="24"/>
      <c r="I17" s="32">
        <f>G17+$H$4-SUM(H7:H17)</f>
        <v>4.583333333333333</v>
      </c>
      <c r="K17" s="16"/>
      <c r="O17" s="59">
        <v>46204</v>
      </c>
      <c r="P17" s="14">
        <f t="shared" si="1"/>
        <v>2.0833333333333335</v>
      </c>
      <c r="Q17" s="5">
        <f t="shared" si="2"/>
        <v>22.916666666666664</v>
      </c>
      <c r="R17" s="24"/>
      <c r="S17" s="11">
        <f>Q17+$R$4-SUM($R$7:R17)</f>
        <v>22.916666666666664</v>
      </c>
    </row>
    <row r="18" spans="2:23" ht="20.149999999999999" customHeight="1" x14ac:dyDescent="0.35">
      <c r="E18" s="59">
        <v>46235</v>
      </c>
      <c r="F18" s="14">
        <f t="shared" si="0"/>
        <v>0.41666666666666669</v>
      </c>
      <c r="G18" s="5">
        <f t="shared" si="4"/>
        <v>5</v>
      </c>
      <c r="H18" s="24"/>
      <c r="I18" s="32">
        <f>G18+$H$4-SUM(H7:H18)</f>
        <v>5</v>
      </c>
      <c r="K18" s="13"/>
      <c r="L18" s="13"/>
      <c r="M18" s="13"/>
      <c r="N18" s="13"/>
      <c r="O18" s="59">
        <v>46235</v>
      </c>
      <c r="P18" s="14">
        <f t="shared" si="1"/>
        <v>2.0833333333333335</v>
      </c>
      <c r="Q18" s="5">
        <f t="shared" si="2"/>
        <v>24.999999999999996</v>
      </c>
      <c r="R18" s="24"/>
      <c r="S18" s="11">
        <f>Q18+$R$4-SUM($R$7:R18)</f>
        <v>24.999999999999996</v>
      </c>
    </row>
    <row r="19" spans="2:23" ht="20.149999999999999" customHeight="1" x14ac:dyDescent="0.35">
      <c r="E19" s="59">
        <v>46266</v>
      </c>
      <c r="F19" s="14">
        <v>0</v>
      </c>
      <c r="G19" s="5">
        <f t="shared" si="4"/>
        <v>5</v>
      </c>
      <c r="H19" s="24"/>
      <c r="I19" s="32">
        <f>G19+$H$4-SUM(H6:H19)</f>
        <v>5</v>
      </c>
      <c r="O19" s="59">
        <v>46266</v>
      </c>
      <c r="P19" s="14">
        <v>0</v>
      </c>
      <c r="Q19" s="5">
        <f t="shared" si="2"/>
        <v>24.999999999999996</v>
      </c>
      <c r="R19" s="24"/>
      <c r="S19" s="11">
        <f>Q19+$R$4-SUM($R$7:R19)</f>
        <v>24.999999999999996</v>
      </c>
    </row>
    <row r="20" spans="2:23" ht="20.149999999999999" customHeight="1" x14ac:dyDescent="0.35">
      <c r="E20" s="59">
        <v>46296</v>
      </c>
      <c r="F20" s="14">
        <v>0</v>
      </c>
      <c r="G20" s="5">
        <f t="shared" si="4"/>
        <v>5</v>
      </c>
      <c r="H20" s="24"/>
      <c r="I20" s="32">
        <f>G20+$H$4-SUM(H7:H20)</f>
        <v>5</v>
      </c>
      <c r="K20" s="70" t="str">
        <f>IF($I$22&gt;0,"OBS: Er der uafholdte feriefridage pr. 31. december 2025, skal de udbetales sammen med lønnen i januar 2026, medmindre de aftales overført."," ")</f>
        <v>OBS: Er der uafholdte feriefridage pr. 31. december 2025, skal de udbetales sammen med lønnen i januar 2026, medmindre de aftales overført.</v>
      </c>
      <c r="L20" s="70"/>
      <c r="M20" s="70"/>
      <c r="O20" s="59">
        <v>46296</v>
      </c>
      <c r="P20" s="14">
        <v>0</v>
      </c>
      <c r="Q20" s="5">
        <f t="shared" si="2"/>
        <v>24.999999999999996</v>
      </c>
      <c r="R20" s="24"/>
      <c r="S20" s="11">
        <f>Q20+$R$4-SUM($R$7:R20)</f>
        <v>24.999999999999996</v>
      </c>
      <c r="U20" s="70" t="str">
        <f>IF($S$22&gt;0,"OBS: Er der uafholdte feriedage udover 20 dage pr. 31. december 2025, skal de udbetales senest 31. marts 2026, medmindre de aftales overført."," ")</f>
        <v>OBS: Er der uafholdte feriedage udover 20 dage pr. 31. december 2025, skal de udbetales senest 31. marts 2026, medmindre de aftales overført.</v>
      </c>
      <c r="V20" s="70"/>
      <c r="W20" s="70"/>
    </row>
    <row r="21" spans="2:23" ht="20.149999999999999" customHeight="1" x14ac:dyDescent="0.35">
      <c r="E21" s="59">
        <v>46327</v>
      </c>
      <c r="F21" s="14">
        <v>0</v>
      </c>
      <c r="G21" s="5">
        <f t="shared" si="4"/>
        <v>5</v>
      </c>
      <c r="H21" s="24"/>
      <c r="I21" s="32">
        <f>G21+$H$4-SUM(H7:H21)</f>
        <v>5</v>
      </c>
      <c r="K21" s="70"/>
      <c r="L21" s="70"/>
      <c r="M21" s="70"/>
      <c r="O21" s="59">
        <v>46327</v>
      </c>
      <c r="P21" s="14">
        <v>0</v>
      </c>
      <c r="Q21" s="5">
        <f t="shared" si="2"/>
        <v>24.999999999999996</v>
      </c>
      <c r="R21" s="24"/>
      <c r="S21" s="11">
        <f>Q21+$R$4-SUM($R$7:R21)</f>
        <v>24.999999999999996</v>
      </c>
      <c r="U21" s="70"/>
      <c r="V21" s="70"/>
      <c r="W21" s="70"/>
    </row>
    <row r="22" spans="2:23" ht="20.149999999999999" customHeight="1" x14ac:dyDescent="0.35">
      <c r="E22" s="59">
        <v>46357</v>
      </c>
      <c r="F22" s="14">
        <v>0</v>
      </c>
      <c r="G22" s="6">
        <f t="shared" si="4"/>
        <v>5</v>
      </c>
      <c r="H22" s="25"/>
      <c r="I22" s="33">
        <f>G22+$H$4-SUM(H7:H22)-H24-H25</f>
        <v>5</v>
      </c>
      <c r="K22" s="70"/>
      <c r="L22" s="70"/>
      <c r="M22" s="70"/>
      <c r="O22" s="59">
        <v>46357</v>
      </c>
      <c r="P22" s="15">
        <v>0</v>
      </c>
      <c r="Q22" s="6">
        <f t="shared" si="2"/>
        <v>24.999999999999996</v>
      </c>
      <c r="R22" s="27"/>
      <c r="S22" s="40">
        <f>Q22+$R$4-SUM($R$7:R22)-R24-R25</f>
        <v>24.999999999999996</v>
      </c>
      <c r="U22" s="70"/>
      <c r="V22" s="70"/>
      <c r="W22" s="70"/>
    </row>
    <row r="23" spans="2:23" ht="8.25" customHeight="1" x14ac:dyDescent="0.35">
      <c r="E23" s="7"/>
      <c r="F23" s="7"/>
      <c r="G23" s="8"/>
      <c r="H23" s="10"/>
      <c r="I23" s="9"/>
      <c r="O23" s="7"/>
      <c r="P23" s="7"/>
      <c r="Q23" s="8"/>
      <c r="R23" s="10" t="s">
        <v>41</v>
      </c>
      <c r="S23" s="9"/>
      <c r="U23" s="54"/>
      <c r="V23" s="54"/>
      <c r="W23" s="54"/>
    </row>
    <row r="24" spans="2:23" x14ac:dyDescent="0.35">
      <c r="G24" s="31" t="s">
        <v>35</v>
      </c>
      <c r="H24" s="23"/>
      <c r="O24" s="1"/>
      <c r="P24" s="1"/>
      <c r="Q24" s="31" t="s">
        <v>35</v>
      </c>
      <c r="R24" s="23"/>
      <c r="U24" s="54"/>
      <c r="V24" s="54"/>
      <c r="W24" s="54"/>
    </row>
    <row r="25" spans="2:23" ht="15" customHeight="1" x14ac:dyDescent="0.35">
      <c r="G25" s="31" t="s">
        <v>36</v>
      </c>
      <c r="H25" s="27"/>
      <c r="K25" s="28"/>
      <c r="L25" s="28"/>
      <c r="M25" s="28"/>
      <c r="O25" s="1"/>
      <c r="P25" s="1"/>
      <c r="Q25" s="31" t="s">
        <v>36</v>
      </c>
      <c r="R25" s="27"/>
      <c r="S25" s="19" t="s">
        <v>41</v>
      </c>
    </row>
    <row r="26" spans="2:23" x14ac:dyDescent="0.35">
      <c r="K26" s="28"/>
      <c r="L26" s="28"/>
      <c r="M26" s="28"/>
      <c r="O26" s="1"/>
      <c r="P26" s="1"/>
    </row>
    <row r="27" spans="2:23" ht="43.5" x14ac:dyDescent="0.35">
      <c r="G27" s="57" t="s">
        <v>52</v>
      </c>
      <c r="K27" s="28"/>
      <c r="L27" s="28"/>
      <c r="M27" s="28"/>
      <c r="O27" s="1"/>
      <c r="P27" s="1"/>
      <c r="Q27" s="57" t="s">
        <v>55</v>
      </c>
    </row>
    <row r="28" spans="2:23" x14ac:dyDescent="0.35">
      <c r="K28" s="28"/>
      <c r="L28" s="28"/>
      <c r="M28" s="28"/>
    </row>
    <row r="31" spans="2:23" x14ac:dyDescent="0.35">
      <c r="B31" s="62"/>
    </row>
  </sheetData>
  <protectedRanges>
    <protectedRange sqref="H4" name="Område2"/>
    <protectedRange sqref="H11:H23" name="Område1"/>
    <protectedRange sqref="H24:H25" name="Område1_1"/>
    <protectedRange sqref="R11:R25" name="Område1_3"/>
    <protectedRange sqref="C6" name="Område1_2_1_1"/>
  </protectedRanges>
  <mergeCells count="9">
    <mergeCell ref="B7:C13"/>
    <mergeCell ref="K7:M9"/>
    <mergeCell ref="U7:W9"/>
    <mergeCell ref="K20:M22"/>
    <mergeCell ref="U20:W22"/>
    <mergeCell ref="E2:I2"/>
    <mergeCell ref="O2:S2"/>
    <mergeCell ref="E4:G4"/>
    <mergeCell ref="O4:Q4"/>
  </mergeCells>
  <conditionalFormatting sqref="I7:I23">
    <cfRule type="cellIs" dxfId="5" priority="3" operator="greaterThanOrEqual">
      <formula>0</formula>
    </cfRule>
    <cfRule type="cellIs" dxfId="4" priority="4" operator="lessThan">
      <formula>0</formula>
    </cfRule>
  </conditionalFormatting>
  <conditionalFormatting sqref="S7:S25">
    <cfRule type="cellIs" dxfId="3" priority="1" operator="greaterThanOrEqual">
      <formula>0</formula>
    </cfRule>
    <cfRule type="cellIs" dxfId="2" priority="2" operator="lessThan">
      <formula>0</formula>
    </cfRule>
  </conditionalFormatting>
  <dataValidations count="1">
    <dataValidation type="list" allowBlank="1" showInputMessage="1" showErrorMessage="1" sqref="C6" xr:uid="{A853B830-30E0-42E0-B11F-2221DCDCB427}">
      <formula1>$E$7:$E$22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B193-45E5-4499-94F5-5CED13B562D3}">
  <dimension ref="E3:G35"/>
  <sheetViews>
    <sheetView workbookViewId="0">
      <selection activeCell="E3" sqref="E3:F4"/>
    </sheetView>
  </sheetViews>
  <sheetFormatPr defaultRowHeight="14.5" x14ac:dyDescent="0.35"/>
  <cols>
    <col min="5" max="7" width="16.1796875" customWidth="1"/>
  </cols>
  <sheetData>
    <row r="3" spans="5:7" x14ac:dyDescent="0.35">
      <c r="E3" s="73" t="s">
        <v>40</v>
      </c>
      <c r="F3" s="74"/>
      <c r="G3" s="77"/>
    </row>
    <row r="4" spans="5:7" ht="14.5" customHeight="1" x14ac:dyDescent="0.35">
      <c r="E4" s="75"/>
      <c r="F4" s="76"/>
      <c r="G4" s="78"/>
    </row>
    <row r="6" spans="5:7" ht="43.5" x14ac:dyDescent="0.35">
      <c r="E6" s="41" t="s">
        <v>0</v>
      </c>
      <c r="F6" s="42" t="s">
        <v>30</v>
      </c>
      <c r="G6" s="43" t="s">
        <v>42</v>
      </c>
    </row>
    <row r="7" spans="5:7" x14ac:dyDescent="0.35">
      <c r="E7" s="44" t="s">
        <v>1</v>
      </c>
      <c r="F7" s="45"/>
      <c r="G7" s="38">
        <f>(G3*5/12)-F7</f>
        <v>0</v>
      </c>
    </row>
    <row r="8" spans="5:7" x14ac:dyDescent="0.35">
      <c r="E8" s="18" t="s">
        <v>2</v>
      </c>
      <c r="F8" s="46"/>
      <c r="G8" s="39">
        <f>G7-F8</f>
        <v>0</v>
      </c>
    </row>
    <row r="9" spans="5:7" x14ac:dyDescent="0.35">
      <c r="E9" s="18" t="s">
        <v>3</v>
      </c>
      <c r="F9" s="46"/>
      <c r="G9" s="39">
        <f t="shared" ref="G9:G34" si="0">G8-F9</f>
        <v>0</v>
      </c>
    </row>
    <row r="10" spans="5:7" x14ac:dyDescent="0.35">
      <c r="E10" s="18" t="s">
        <v>4</v>
      </c>
      <c r="F10" s="46"/>
      <c r="G10" s="39">
        <f t="shared" si="0"/>
        <v>0</v>
      </c>
    </row>
    <row r="11" spans="5:7" x14ac:dyDescent="0.35">
      <c r="E11" s="18" t="s">
        <v>5</v>
      </c>
      <c r="F11" s="46"/>
      <c r="G11" s="39">
        <f t="shared" si="0"/>
        <v>0</v>
      </c>
    </row>
    <row r="12" spans="5:7" x14ac:dyDescent="0.35">
      <c r="E12" s="18" t="s">
        <v>6</v>
      </c>
      <c r="F12" s="46"/>
      <c r="G12" s="39">
        <f t="shared" si="0"/>
        <v>0</v>
      </c>
    </row>
    <row r="13" spans="5:7" x14ac:dyDescent="0.35">
      <c r="E13" s="18" t="s">
        <v>7</v>
      </c>
      <c r="F13" s="46"/>
      <c r="G13" s="39">
        <f t="shared" si="0"/>
        <v>0</v>
      </c>
    </row>
    <row r="14" spans="5:7" x14ac:dyDescent="0.35">
      <c r="E14" s="18" t="s">
        <v>8</v>
      </c>
      <c r="F14" s="46"/>
      <c r="G14" s="39">
        <f t="shared" si="0"/>
        <v>0</v>
      </c>
    </row>
    <row r="15" spans="5:7" x14ac:dyDescent="0.35">
      <c r="E15" s="18" t="s">
        <v>9</v>
      </c>
      <c r="F15" s="46"/>
      <c r="G15" s="39">
        <f t="shared" si="0"/>
        <v>0</v>
      </c>
    </row>
    <row r="16" spans="5:7" x14ac:dyDescent="0.35">
      <c r="E16" s="18" t="s">
        <v>10</v>
      </c>
      <c r="F16" s="46"/>
      <c r="G16" s="39">
        <f t="shared" si="0"/>
        <v>0</v>
      </c>
    </row>
    <row r="17" spans="5:7" x14ac:dyDescent="0.35">
      <c r="E17" s="18" t="s">
        <v>11</v>
      </c>
      <c r="F17" s="46"/>
      <c r="G17" s="39">
        <f t="shared" si="0"/>
        <v>0</v>
      </c>
    </row>
    <row r="18" spans="5:7" x14ac:dyDescent="0.35">
      <c r="E18" s="18" t="s">
        <v>12</v>
      </c>
      <c r="F18" s="46"/>
      <c r="G18" s="39">
        <f t="shared" si="0"/>
        <v>0</v>
      </c>
    </row>
    <row r="19" spans="5:7" x14ac:dyDescent="0.35">
      <c r="E19" s="18" t="s">
        <v>13</v>
      </c>
      <c r="F19" s="46"/>
      <c r="G19" s="39">
        <f t="shared" si="0"/>
        <v>0</v>
      </c>
    </row>
    <row r="20" spans="5:7" x14ac:dyDescent="0.35">
      <c r="E20" s="18" t="s">
        <v>14</v>
      </c>
      <c r="F20" s="46"/>
      <c r="G20" s="39">
        <f t="shared" si="0"/>
        <v>0</v>
      </c>
    </row>
    <row r="21" spans="5:7" x14ac:dyDescent="0.35">
      <c r="E21" s="18" t="s">
        <v>15</v>
      </c>
      <c r="F21" s="46"/>
      <c r="G21" s="39">
        <f t="shared" si="0"/>
        <v>0</v>
      </c>
    </row>
    <row r="22" spans="5:7" x14ac:dyDescent="0.35">
      <c r="E22" s="18" t="s">
        <v>16</v>
      </c>
      <c r="F22" s="47"/>
      <c r="G22" s="39">
        <f t="shared" si="0"/>
        <v>0</v>
      </c>
    </row>
    <row r="23" spans="5:7" x14ac:dyDescent="0.35">
      <c r="E23" s="18" t="s">
        <v>17</v>
      </c>
      <c r="F23" s="48"/>
      <c r="G23" s="39">
        <f t="shared" si="0"/>
        <v>0</v>
      </c>
    </row>
    <row r="24" spans="5:7" x14ac:dyDescent="0.35">
      <c r="E24" s="18" t="s">
        <v>18</v>
      </c>
      <c r="F24" s="48"/>
      <c r="G24" s="39">
        <f t="shared" si="0"/>
        <v>0</v>
      </c>
    </row>
    <row r="25" spans="5:7" x14ac:dyDescent="0.35">
      <c r="E25" s="18" t="s">
        <v>19</v>
      </c>
      <c r="F25" s="48"/>
      <c r="G25" s="39">
        <f t="shared" si="0"/>
        <v>0</v>
      </c>
    </row>
    <row r="26" spans="5:7" x14ac:dyDescent="0.35">
      <c r="E26" s="18" t="s">
        <v>20</v>
      </c>
      <c r="F26" s="48"/>
      <c r="G26" s="39">
        <f t="shared" si="0"/>
        <v>0</v>
      </c>
    </row>
    <row r="27" spans="5:7" x14ac:dyDescent="0.35">
      <c r="E27" s="18" t="s">
        <v>21</v>
      </c>
      <c r="F27" s="48"/>
      <c r="G27" s="39">
        <f t="shared" si="0"/>
        <v>0</v>
      </c>
    </row>
    <row r="28" spans="5:7" x14ac:dyDescent="0.35">
      <c r="E28" s="18" t="s">
        <v>22</v>
      </c>
      <c r="F28" s="48"/>
      <c r="G28" s="39">
        <f t="shared" si="0"/>
        <v>0</v>
      </c>
    </row>
    <row r="29" spans="5:7" x14ac:dyDescent="0.35">
      <c r="E29" s="18" t="s">
        <v>23</v>
      </c>
      <c r="F29" s="48"/>
      <c r="G29" s="39">
        <f t="shared" si="0"/>
        <v>0</v>
      </c>
    </row>
    <row r="30" spans="5:7" x14ac:dyDescent="0.35">
      <c r="E30" s="18" t="s">
        <v>24</v>
      </c>
      <c r="F30" s="48"/>
      <c r="G30" s="39">
        <f t="shared" si="0"/>
        <v>0</v>
      </c>
    </row>
    <row r="31" spans="5:7" x14ac:dyDescent="0.35">
      <c r="E31" s="18" t="s">
        <v>25</v>
      </c>
      <c r="F31" s="48"/>
      <c r="G31" s="39">
        <f t="shared" si="0"/>
        <v>0</v>
      </c>
    </row>
    <row r="32" spans="5:7" x14ac:dyDescent="0.35">
      <c r="E32" s="18" t="s">
        <v>26</v>
      </c>
      <c r="F32" s="48"/>
      <c r="G32" s="39">
        <f t="shared" si="0"/>
        <v>0</v>
      </c>
    </row>
    <row r="33" spans="5:7" x14ac:dyDescent="0.35">
      <c r="E33" s="18" t="s">
        <v>27</v>
      </c>
      <c r="F33" s="48"/>
      <c r="G33" s="39">
        <f t="shared" si="0"/>
        <v>0</v>
      </c>
    </row>
    <row r="34" spans="5:7" x14ac:dyDescent="0.35">
      <c r="E34" s="49" t="s">
        <v>28</v>
      </c>
      <c r="F34" s="50"/>
      <c r="G34" s="40">
        <f t="shared" si="0"/>
        <v>0</v>
      </c>
    </row>
    <row r="35" spans="5:7" x14ac:dyDescent="0.35">
      <c r="E35" s="7" t="s">
        <v>41</v>
      </c>
    </row>
  </sheetData>
  <protectedRanges>
    <protectedRange sqref="F7:F22" name="Område1"/>
    <protectedRange sqref="G4" name="Område2_2"/>
  </protectedRanges>
  <mergeCells count="2">
    <mergeCell ref="E3:F4"/>
    <mergeCell ref="G3:G4"/>
  </mergeCells>
  <phoneticPr fontId="11" type="noConversion"/>
  <conditionalFormatting sqref="G7:G34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2020-2021</vt:lpstr>
      <vt:lpstr>2021-2022</vt:lpstr>
      <vt:lpstr>2022-2023</vt:lpstr>
      <vt:lpstr>2023-2024</vt:lpstr>
      <vt:lpstr>2024-2025</vt:lpstr>
      <vt:lpstr>2025-2026</vt:lpstr>
      <vt:lpstr>Overgangsordning feriefridage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dcterms:created xsi:type="dcterms:W3CDTF">2019-05-23T11:46:23Z</dcterms:created>
  <dcterms:modified xsi:type="dcterms:W3CDTF">2025-09-08T13:13:23Z</dcterms:modified>
</cp:coreProperties>
</file>